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2.xml" ContentType="application/vnd.openxmlformats-officedocument.themeOverride+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https://adminliveunc-my.sharepoint.com/personal/dgorelic_ad_unc_edu/Documents/UNC/Research/IM3/CAP/Data/"/>
    </mc:Choice>
  </mc:AlternateContent>
  <xr:revisionPtr revIDLastSave="0" documentId="13_ncr:1_{910FA334-F6FB-44D0-A95C-34D36EBAA922}" xr6:coauthVersionLast="47" xr6:coauthVersionMax="47" xr10:uidLastSave="{00000000-0000-0000-0000-000000000000}"/>
  <bookViews>
    <workbookView xWindow="-120" yWindow="-16320" windowWidth="29040" windowHeight="15840" firstSheet="1" activeTab="7" xr2:uid="{00000000-000D-0000-FFFF-FFFF00000000}"/>
  </bookViews>
  <sheets>
    <sheet name="2022" sheetId="1" r:id="rId1"/>
    <sheet name="Resource Chart" sheetId="8" r:id="rId2"/>
    <sheet name="Hoover with 30 MW Solar" sheetId="6" r:id="rId3"/>
    <sheet name="Load" sheetId="7" r:id="rId4"/>
    <sheet name="Lake Pleasant Forecast" sheetId="9" r:id="rId5"/>
    <sheet name="Lake Pleasant Rolling Schedule" sheetId="12" r:id="rId6"/>
    <sheet name="2022 Transaction Totals" sheetId="10" r:id="rId7"/>
    <sheet name="Notes" sheetId="11" r:id="rId8"/>
  </sheets>
  <externalReferences>
    <externalReference r:id="rId9"/>
    <externalReference r:id="rId10"/>
    <externalReference r:id="rId11"/>
  </externalReferences>
  <definedNames>
    <definedName name="_xlnm._FilterDatabase" localSheetId="4" hidden="1">'Lake Pleasant Forecast'!#REF!</definedName>
    <definedName name="_xlnm.Print_Area" localSheetId="6">'2022 Transaction Totals'!$A$91:$U$105</definedName>
    <definedName name="_xlnm.Print_Area" localSheetId="4">'Lake Pleasant Forecast'!$A$116:$R$163</definedName>
    <definedName name="_xlnm.Print_Area" localSheetId="5">'Lake Pleasant Rolling Schedule'!$A$1:$L$246</definedName>
    <definedName name="_xlnm.Print_Titles" localSheetId="5">'Lake Pleasant Rolling Schedule'!$1:$6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7" i="12" l="1"/>
  <c r="B246" i="12"/>
  <c r="B245" i="12"/>
  <c r="B244" i="12"/>
  <c r="B243" i="12"/>
  <c r="B242" i="12"/>
  <c r="B241" i="12"/>
  <c r="B226" i="12"/>
  <c r="D572" i="1" l="1"/>
  <c r="D568" i="1"/>
  <c r="D557" i="1"/>
  <c r="D553" i="1"/>
  <c r="D542" i="1"/>
  <c r="D538" i="1"/>
  <c r="D527" i="1"/>
  <c r="D523" i="1"/>
  <c r="D508" i="1"/>
  <c r="D512" i="1" l="1"/>
  <c r="G512" i="1" s="1"/>
  <c r="F587" i="1"/>
  <c r="G572" i="1"/>
  <c r="F572" i="1"/>
  <c r="G568" i="1"/>
  <c r="G567" i="1"/>
  <c r="F567" i="1" s="1"/>
  <c r="D567" i="1"/>
  <c r="F557" i="1"/>
  <c r="G557" i="1" s="1"/>
  <c r="G553" i="1"/>
  <c r="G552" i="1"/>
  <c r="F552" i="1" s="1"/>
  <c r="D552" i="1"/>
  <c r="F542" i="1"/>
  <c r="G542" i="1"/>
  <c r="G538" i="1"/>
  <c r="G537" i="1"/>
  <c r="D537" i="1"/>
  <c r="F537" i="1" s="1"/>
  <c r="F527" i="1"/>
  <c r="D587" i="1"/>
  <c r="G587" i="1" s="1"/>
  <c r="D583" i="1"/>
  <c r="G583" i="1" s="1"/>
  <c r="G522" i="1"/>
  <c r="G582" i="1" s="1"/>
  <c r="F522" i="1"/>
  <c r="D522" i="1"/>
  <c r="D582" i="1" s="1"/>
  <c r="F512" i="1"/>
  <c r="G508" i="1"/>
  <c r="F507" i="1"/>
  <c r="D507" i="1"/>
  <c r="G507" i="1" s="1"/>
  <c r="F582" i="1" l="1"/>
  <c r="G523" i="1"/>
  <c r="G527" i="1"/>
  <c r="J317" i="1" l="1"/>
  <c r="J316" i="1"/>
  <c r="AH499" i="1"/>
  <c r="AH498" i="1"/>
  <c r="AH497" i="1"/>
  <c r="AH496" i="1"/>
  <c r="AF496" i="1"/>
  <c r="AF497" i="1"/>
  <c r="AF498" i="1"/>
  <c r="AF499" i="1"/>
  <c r="J278" i="1" l="1"/>
  <c r="J277" i="1"/>
  <c r="J239" i="1"/>
  <c r="J238" i="1"/>
  <c r="BE465" i="1" l="1"/>
  <c r="BE464" i="1"/>
  <c r="BE463" i="1"/>
  <c r="BE462" i="1"/>
  <c r="BE461" i="1"/>
  <c r="BE460" i="1"/>
  <c r="BE459" i="1"/>
  <c r="BE458" i="1"/>
  <c r="BE457" i="1"/>
  <c r="BE456" i="1"/>
  <c r="BE455" i="1"/>
  <c r="BE454" i="1"/>
  <c r="BE453" i="1"/>
  <c r="BE452" i="1"/>
  <c r="BE451" i="1"/>
  <c r="BE450" i="1"/>
  <c r="BE449" i="1"/>
  <c r="BE448" i="1"/>
  <c r="BE447" i="1"/>
  <c r="BE446" i="1"/>
  <c r="BE445" i="1"/>
  <c r="BE444" i="1"/>
  <c r="BE443" i="1"/>
  <c r="BE442" i="1"/>
  <c r="AA463" i="1"/>
  <c r="AA462" i="1"/>
  <c r="AA461" i="1"/>
  <c r="AA460" i="1"/>
  <c r="AA459" i="1"/>
  <c r="AA458" i="1"/>
  <c r="AA457" i="1"/>
  <c r="AA456" i="1"/>
  <c r="AA455" i="1"/>
  <c r="AA454" i="1"/>
  <c r="AA453" i="1"/>
  <c r="AA452" i="1"/>
  <c r="AA451" i="1"/>
  <c r="AA450" i="1"/>
  <c r="AA449" i="1"/>
  <c r="AA448" i="1"/>
  <c r="AA465" i="1"/>
  <c r="AA464" i="1"/>
  <c r="AA447" i="1"/>
  <c r="AA446" i="1"/>
  <c r="AA445" i="1"/>
  <c r="AA444" i="1"/>
  <c r="AA443" i="1"/>
  <c r="AA442" i="1"/>
  <c r="BE385" i="1"/>
  <c r="BE384" i="1"/>
  <c r="BE383" i="1"/>
  <c r="BE382" i="1"/>
  <c r="BE381" i="1"/>
  <c r="BE380" i="1"/>
  <c r="BE379" i="1"/>
  <c r="BE378" i="1"/>
  <c r="BE377" i="1"/>
  <c r="BE376" i="1"/>
  <c r="BE375" i="1"/>
  <c r="BE374" i="1"/>
  <c r="BE373" i="1"/>
  <c r="BE372" i="1"/>
  <c r="BE371" i="1"/>
  <c r="BE370" i="1"/>
  <c r="BE369" i="1"/>
  <c r="BE368" i="1"/>
  <c r="BE367" i="1"/>
  <c r="BE366" i="1"/>
  <c r="BE365" i="1"/>
  <c r="BE364" i="1"/>
  <c r="BE363" i="1"/>
  <c r="BE362" i="1"/>
  <c r="AA385" i="1"/>
  <c r="AA384" i="1"/>
  <c r="AA367" i="1"/>
  <c r="AA366" i="1"/>
  <c r="AA365" i="1"/>
  <c r="AA364" i="1"/>
  <c r="AA363" i="1"/>
  <c r="AA362" i="1"/>
  <c r="BE424" i="1"/>
  <c r="BE423" i="1"/>
  <c r="BE422" i="1"/>
  <c r="BE421" i="1"/>
  <c r="BE420" i="1"/>
  <c r="BE419" i="1"/>
  <c r="BE418" i="1"/>
  <c r="BE417" i="1"/>
  <c r="BE416" i="1"/>
  <c r="BE415" i="1"/>
  <c r="BE414" i="1"/>
  <c r="BE413" i="1"/>
  <c r="BE412" i="1"/>
  <c r="BE411" i="1"/>
  <c r="BE410" i="1"/>
  <c r="BE409" i="1"/>
  <c r="BE408" i="1"/>
  <c r="BE407" i="1"/>
  <c r="BE406" i="1"/>
  <c r="BE405" i="1"/>
  <c r="BE404" i="1"/>
  <c r="BE403" i="1"/>
  <c r="BE402" i="1"/>
  <c r="BE401" i="1"/>
  <c r="AA422" i="1"/>
  <c r="AA421" i="1"/>
  <c r="AA420" i="1"/>
  <c r="AA419" i="1"/>
  <c r="AA418" i="1"/>
  <c r="AA417" i="1"/>
  <c r="AA416" i="1"/>
  <c r="AA415" i="1"/>
  <c r="AA414" i="1"/>
  <c r="AA413" i="1"/>
  <c r="AA412" i="1"/>
  <c r="AA411" i="1"/>
  <c r="AA410" i="1"/>
  <c r="AA409" i="1"/>
  <c r="AA408" i="1"/>
  <c r="AA407" i="1"/>
  <c r="AA424" i="1"/>
  <c r="AA423" i="1"/>
  <c r="AA406" i="1"/>
  <c r="AA405" i="1"/>
  <c r="AA404" i="1"/>
  <c r="AA403" i="1"/>
  <c r="AA402" i="1"/>
  <c r="AA401" i="1"/>
  <c r="AA383" i="1"/>
  <c r="AA382" i="1"/>
  <c r="AA381" i="1"/>
  <c r="AA380" i="1"/>
  <c r="AA379" i="1"/>
  <c r="AA378" i="1"/>
  <c r="AA377" i="1"/>
  <c r="AA376" i="1"/>
  <c r="AA375" i="1"/>
  <c r="AA374" i="1"/>
  <c r="AA373" i="1"/>
  <c r="AA372" i="1"/>
  <c r="AA371" i="1"/>
  <c r="AA370" i="1"/>
  <c r="AA369" i="1"/>
  <c r="AA368" i="1"/>
  <c r="BE346" i="1"/>
  <c r="BE345" i="1"/>
  <c r="BE344" i="1"/>
  <c r="BE343" i="1"/>
  <c r="BE342" i="1"/>
  <c r="BE341" i="1"/>
  <c r="BE340" i="1"/>
  <c r="BE339" i="1"/>
  <c r="BE338" i="1"/>
  <c r="BE337" i="1"/>
  <c r="BE336" i="1"/>
  <c r="BE335" i="1"/>
  <c r="BE334" i="1"/>
  <c r="BE333" i="1"/>
  <c r="BE332" i="1"/>
  <c r="BE331" i="1"/>
  <c r="BE330" i="1"/>
  <c r="BE329" i="1"/>
  <c r="BE328" i="1"/>
  <c r="BE327" i="1"/>
  <c r="BE326" i="1"/>
  <c r="BE325" i="1"/>
  <c r="BE324" i="1"/>
  <c r="BE323" i="1"/>
  <c r="AA346" i="1"/>
  <c r="AA345" i="1"/>
  <c r="AA344" i="1"/>
  <c r="AA343" i="1"/>
  <c r="AA342" i="1"/>
  <c r="AA341" i="1"/>
  <c r="AA340" i="1"/>
  <c r="AA339" i="1"/>
  <c r="AA338" i="1"/>
  <c r="AA337" i="1"/>
  <c r="AA336" i="1"/>
  <c r="AA335" i="1"/>
  <c r="AA334" i="1"/>
  <c r="AA333" i="1"/>
  <c r="AA332" i="1"/>
  <c r="AA331" i="1"/>
  <c r="AA330" i="1"/>
  <c r="AA329" i="1"/>
  <c r="AA328" i="1"/>
  <c r="AA327" i="1"/>
  <c r="AA326" i="1"/>
  <c r="AA325" i="1"/>
  <c r="AA324" i="1"/>
  <c r="AA323" i="1"/>
  <c r="BE307" i="1"/>
  <c r="BE306" i="1"/>
  <c r="BE305" i="1"/>
  <c r="BE304" i="1"/>
  <c r="BE303" i="1"/>
  <c r="BE302" i="1"/>
  <c r="BE301" i="1"/>
  <c r="BE300" i="1"/>
  <c r="BE299" i="1"/>
  <c r="BE298" i="1"/>
  <c r="BE297" i="1"/>
  <c r="BE296" i="1"/>
  <c r="BE295" i="1"/>
  <c r="BE294" i="1"/>
  <c r="BE293" i="1"/>
  <c r="BE292" i="1"/>
  <c r="BE291" i="1"/>
  <c r="BE290" i="1"/>
  <c r="BE289" i="1"/>
  <c r="BE288" i="1"/>
  <c r="BE287" i="1"/>
  <c r="BE286" i="1"/>
  <c r="BE285" i="1"/>
  <c r="BE284" i="1"/>
  <c r="AA307" i="1"/>
  <c r="AA306" i="1"/>
  <c r="AA305" i="1"/>
  <c r="AA304" i="1"/>
  <c r="AA303" i="1"/>
  <c r="AA302" i="1"/>
  <c r="AA301" i="1"/>
  <c r="AA300" i="1"/>
  <c r="AA299" i="1"/>
  <c r="AA298" i="1"/>
  <c r="AA297" i="1"/>
  <c r="AA296" i="1"/>
  <c r="AA295" i="1"/>
  <c r="AA294" i="1"/>
  <c r="AA293" i="1"/>
  <c r="AA292" i="1"/>
  <c r="AA291" i="1"/>
  <c r="AA290" i="1"/>
  <c r="AA289" i="1"/>
  <c r="AA288" i="1"/>
  <c r="AA287" i="1"/>
  <c r="AA286" i="1"/>
  <c r="AA285" i="1"/>
  <c r="AA284" i="1"/>
  <c r="BE268" i="1"/>
  <c r="BE267" i="1"/>
  <c r="BE266" i="1"/>
  <c r="BE265" i="1"/>
  <c r="BE264" i="1"/>
  <c r="BE263" i="1"/>
  <c r="BE262" i="1"/>
  <c r="BE261" i="1"/>
  <c r="BE260" i="1"/>
  <c r="BE259" i="1"/>
  <c r="BE258" i="1"/>
  <c r="BE257" i="1"/>
  <c r="BE256" i="1"/>
  <c r="BE255" i="1"/>
  <c r="BE254" i="1"/>
  <c r="BE253" i="1"/>
  <c r="BE252" i="1"/>
  <c r="BE251" i="1"/>
  <c r="BE250" i="1"/>
  <c r="BE249" i="1"/>
  <c r="BE248" i="1"/>
  <c r="BE247" i="1"/>
  <c r="BE246" i="1"/>
  <c r="BE245" i="1"/>
  <c r="AA266" i="1"/>
  <c r="AA265" i="1"/>
  <c r="AA264" i="1"/>
  <c r="AA263" i="1"/>
  <c r="AA262" i="1"/>
  <c r="AA261" i="1"/>
  <c r="AA260" i="1"/>
  <c r="AA259" i="1"/>
  <c r="AA258" i="1"/>
  <c r="AA257" i="1"/>
  <c r="AA256" i="1"/>
  <c r="AA255" i="1"/>
  <c r="AA254" i="1"/>
  <c r="AA253" i="1"/>
  <c r="AA252" i="1"/>
  <c r="AA251" i="1"/>
  <c r="AA268" i="1"/>
  <c r="AA267" i="1"/>
  <c r="AA250" i="1"/>
  <c r="AA249" i="1"/>
  <c r="AA248" i="1"/>
  <c r="AA247" i="1"/>
  <c r="AA246" i="1"/>
  <c r="AA245" i="1"/>
  <c r="BE229" i="1"/>
  <c r="BE228" i="1"/>
  <c r="BE227" i="1"/>
  <c r="BE226" i="1"/>
  <c r="BE225" i="1"/>
  <c r="BE224" i="1"/>
  <c r="BE223" i="1"/>
  <c r="BE222" i="1"/>
  <c r="BE221" i="1"/>
  <c r="BE220" i="1"/>
  <c r="BE219" i="1"/>
  <c r="BE218" i="1"/>
  <c r="BE217" i="1"/>
  <c r="BE216" i="1"/>
  <c r="BE215" i="1"/>
  <c r="BE214" i="1"/>
  <c r="BE213" i="1"/>
  <c r="BE212" i="1"/>
  <c r="BE211" i="1"/>
  <c r="BE210" i="1"/>
  <c r="BE209" i="1"/>
  <c r="BE208" i="1"/>
  <c r="BE207" i="1"/>
  <c r="BE206" i="1"/>
  <c r="AA229" i="1"/>
  <c r="AA228" i="1"/>
  <c r="AA227" i="1"/>
  <c r="AA226" i="1"/>
  <c r="AA225" i="1"/>
  <c r="AA224" i="1"/>
  <c r="AA223" i="1"/>
  <c r="AA222" i="1"/>
  <c r="AA221" i="1"/>
  <c r="AA220" i="1"/>
  <c r="AA219" i="1"/>
  <c r="AA218" i="1"/>
  <c r="AA217" i="1"/>
  <c r="AA216" i="1"/>
  <c r="AA215" i="1"/>
  <c r="AA214" i="1"/>
  <c r="AA213" i="1"/>
  <c r="AA212" i="1"/>
  <c r="AA211" i="1"/>
  <c r="AA210" i="1"/>
  <c r="AA209" i="1"/>
  <c r="AA208" i="1"/>
  <c r="AA207" i="1"/>
  <c r="AA206" i="1"/>
  <c r="BE188" i="1"/>
  <c r="BE187" i="1"/>
  <c r="BE186" i="1"/>
  <c r="BE185" i="1"/>
  <c r="BE184" i="1"/>
  <c r="BE183" i="1"/>
  <c r="BE182" i="1"/>
  <c r="BE181" i="1"/>
  <c r="BE180" i="1"/>
  <c r="BE179" i="1"/>
  <c r="BE178" i="1"/>
  <c r="BE177" i="1"/>
  <c r="BE176" i="1"/>
  <c r="BE175" i="1"/>
  <c r="BE174" i="1"/>
  <c r="BE173" i="1"/>
  <c r="BE172" i="1"/>
  <c r="BE171" i="1"/>
  <c r="BE170" i="1"/>
  <c r="BE169" i="1"/>
  <c r="BE168" i="1"/>
  <c r="BE167" i="1"/>
  <c r="BE166" i="1"/>
  <c r="BE165" i="1"/>
  <c r="AA188" i="1"/>
  <c r="AA187" i="1"/>
  <c r="AA186" i="1"/>
  <c r="AA185" i="1"/>
  <c r="AA184" i="1"/>
  <c r="AA183" i="1"/>
  <c r="AA182" i="1"/>
  <c r="AA181" i="1"/>
  <c r="AA180" i="1"/>
  <c r="AA179" i="1"/>
  <c r="AA178" i="1"/>
  <c r="AA177" i="1"/>
  <c r="AA176" i="1"/>
  <c r="AA175" i="1"/>
  <c r="AA174" i="1"/>
  <c r="AA173" i="1"/>
  <c r="AA172" i="1"/>
  <c r="AA171" i="1"/>
  <c r="AA170" i="1"/>
  <c r="AA169" i="1"/>
  <c r="AA168" i="1"/>
  <c r="AA167" i="1"/>
  <c r="AA166" i="1"/>
  <c r="AA165" i="1"/>
  <c r="BE148" i="1" l="1"/>
  <c r="BE147" i="1"/>
  <c r="BE146" i="1"/>
  <c r="BE145" i="1"/>
  <c r="BE144" i="1"/>
  <c r="BE143" i="1"/>
  <c r="BE142" i="1"/>
  <c r="BE141" i="1"/>
  <c r="BE140" i="1"/>
  <c r="BE139" i="1"/>
  <c r="BE138" i="1"/>
  <c r="BE137" i="1"/>
  <c r="BE136" i="1"/>
  <c r="BE135" i="1"/>
  <c r="BE134" i="1"/>
  <c r="BE133" i="1"/>
  <c r="BE132" i="1"/>
  <c r="BE131" i="1"/>
  <c r="BE130" i="1"/>
  <c r="BE129" i="1"/>
  <c r="BE128" i="1"/>
  <c r="BE127" i="1"/>
  <c r="BE126" i="1"/>
  <c r="BE125" i="1"/>
  <c r="AA146" i="1"/>
  <c r="AA145" i="1"/>
  <c r="AA144" i="1"/>
  <c r="AA143" i="1"/>
  <c r="AA142" i="1"/>
  <c r="AA141" i="1"/>
  <c r="AA140" i="1"/>
  <c r="AA139" i="1"/>
  <c r="AA138" i="1"/>
  <c r="AA137" i="1"/>
  <c r="AA136" i="1"/>
  <c r="AA135" i="1"/>
  <c r="AA134" i="1"/>
  <c r="AA133" i="1"/>
  <c r="AA132" i="1"/>
  <c r="AA148" i="1"/>
  <c r="AA147" i="1"/>
  <c r="AA130" i="1"/>
  <c r="AA129" i="1"/>
  <c r="AA128" i="1"/>
  <c r="AA127" i="1"/>
  <c r="AA126" i="1"/>
  <c r="AA125" i="1"/>
  <c r="AA131" i="1"/>
  <c r="BE108" i="1"/>
  <c r="BE107" i="1"/>
  <c r="BE106" i="1"/>
  <c r="BE105" i="1"/>
  <c r="BE104" i="1"/>
  <c r="BE103" i="1"/>
  <c r="BE102" i="1"/>
  <c r="BE101" i="1"/>
  <c r="BE100" i="1"/>
  <c r="BE99" i="1"/>
  <c r="BE98" i="1"/>
  <c r="BE97" i="1"/>
  <c r="BE96" i="1"/>
  <c r="BE95" i="1"/>
  <c r="BE94" i="1"/>
  <c r="BE93" i="1"/>
  <c r="BE92" i="1"/>
  <c r="BE91" i="1"/>
  <c r="BE90" i="1"/>
  <c r="BE89" i="1"/>
  <c r="BE88" i="1"/>
  <c r="BE87" i="1"/>
  <c r="BE86" i="1"/>
  <c r="BE85" i="1"/>
  <c r="AA106" i="1"/>
  <c r="AA105" i="1"/>
  <c r="AA104" i="1"/>
  <c r="AA103" i="1"/>
  <c r="AA102" i="1"/>
  <c r="AA101" i="1"/>
  <c r="AA100" i="1"/>
  <c r="AA99" i="1"/>
  <c r="AA98" i="1"/>
  <c r="AA97" i="1"/>
  <c r="AA96" i="1"/>
  <c r="AA95" i="1"/>
  <c r="AA94" i="1"/>
  <c r="AA93" i="1"/>
  <c r="AA92" i="1"/>
  <c r="AA91" i="1"/>
  <c r="AA108" i="1"/>
  <c r="AA107" i="1"/>
  <c r="AA90" i="1"/>
  <c r="AA89" i="1"/>
  <c r="AA88" i="1"/>
  <c r="AA87" i="1"/>
  <c r="AA86" i="1"/>
  <c r="AA85" i="1"/>
  <c r="BE54" i="1"/>
  <c r="BE68" i="1"/>
  <c r="BE67" i="1"/>
  <c r="BE66" i="1"/>
  <c r="BE65" i="1"/>
  <c r="BE64" i="1"/>
  <c r="BE63" i="1"/>
  <c r="BE62" i="1"/>
  <c r="BE61" i="1"/>
  <c r="BE60" i="1"/>
  <c r="BE59" i="1"/>
  <c r="BE58" i="1"/>
  <c r="BE57" i="1"/>
  <c r="BE56" i="1"/>
  <c r="BE55" i="1"/>
  <c r="BE53" i="1"/>
  <c r="BE52" i="1"/>
  <c r="BE51" i="1"/>
  <c r="BE50" i="1"/>
  <c r="BE49" i="1"/>
  <c r="BE48" i="1"/>
  <c r="BE47" i="1"/>
  <c r="BE46" i="1"/>
  <c r="BE45" i="1"/>
  <c r="AA57" i="1"/>
  <c r="AA52" i="1"/>
  <c r="AA66" i="1"/>
  <c r="AA65" i="1"/>
  <c r="AA64" i="1"/>
  <c r="AA63" i="1"/>
  <c r="AA62" i="1"/>
  <c r="AA61" i="1"/>
  <c r="AA60" i="1"/>
  <c r="AA59" i="1"/>
  <c r="AA58" i="1"/>
  <c r="AA56" i="1"/>
  <c r="AA55" i="1"/>
  <c r="AA54" i="1"/>
  <c r="AA53" i="1"/>
  <c r="AA51" i="1"/>
  <c r="AA68" i="1"/>
  <c r="AA67" i="1"/>
  <c r="AA50" i="1"/>
  <c r="AA49" i="1"/>
  <c r="AA48" i="1"/>
  <c r="AA47" i="1"/>
  <c r="AA46" i="1"/>
  <c r="AA45" i="1"/>
  <c r="BE26" i="1"/>
  <c r="BE25" i="1"/>
  <c r="BE24" i="1"/>
  <c r="BE23" i="1"/>
  <c r="BE22" i="1"/>
  <c r="BE21" i="1"/>
  <c r="BE20" i="1"/>
  <c r="BE19" i="1"/>
  <c r="BE18" i="1"/>
  <c r="BE17" i="1"/>
  <c r="BE16" i="1"/>
  <c r="BE15" i="1"/>
  <c r="BE14" i="1"/>
  <c r="BE13" i="1"/>
  <c r="BE12" i="1"/>
  <c r="BE11" i="1"/>
  <c r="BE28" i="1"/>
  <c r="BE27" i="1"/>
  <c r="BE10" i="1"/>
  <c r="BE9" i="1"/>
  <c r="BE8" i="1"/>
  <c r="BE7" i="1"/>
  <c r="BE6" i="1"/>
  <c r="BE5" i="1"/>
  <c r="AA26" i="1"/>
  <c r="AA25" i="1"/>
  <c r="AA24" i="1"/>
  <c r="AA23" i="1"/>
  <c r="AA22" i="1"/>
  <c r="AA21" i="1"/>
  <c r="AA20" i="1"/>
  <c r="AA19" i="1"/>
  <c r="AA18" i="1"/>
  <c r="AA17" i="1"/>
  <c r="AA16" i="1"/>
  <c r="AA15" i="1"/>
  <c r="AA14" i="1"/>
  <c r="AA13" i="1"/>
  <c r="AA12" i="1"/>
  <c r="AA11" i="1"/>
  <c r="AA28" i="1"/>
  <c r="AA27" i="1"/>
  <c r="AA10" i="1"/>
  <c r="AA9" i="1"/>
  <c r="AA8" i="1"/>
  <c r="AA7" i="1"/>
  <c r="AA6" i="1"/>
  <c r="AA5" i="1"/>
  <c r="AB91" i="1"/>
  <c r="D490" i="1" l="1"/>
  <c r="D491" i="1"/>
  <c r="D492" i="1"/>
  <c r="D493" i="1"/>
  <c r="S234" i="1" l="1"/>
  <c r="B239" i="12" l="1"/>
  <c r="B252" i="12"/>
  <c r="B251" i="12"/>
  <c r="B250" i="12"/>
  <c r="B249" i="12"/>
  <c r="C249" i="12" s="1"/>
  <c r="B248" i="12"/>
  <c r="C242" i="12"/>
  <c r="B265" i="12"/>
  <c r="B264" i="12"/>
  <c r="B263" i="12"/>
  <c r="B262" i="12"/>
  <c r="C262" i="12" s="1"/>
  <c r="B261" i="12"/>
  <c r="B260" i="12"/>
  <c r="C260" i="12" s="1"/>
  <c r="B259" i="12"/>
  <c r="B258" i="12"/>
  <c r="C259" i="12" s="1"/>
  <c r="B257" i="12"/>
  <c r="B256" i="12"/>
  <c r="B255" i="12"/>
  <c r="A255" i="12"/>
  <c r="A256" i="12" s="1"/>
  <c r="A257" i="12" s="1"/>
  <c r="A258" i="12" s="1"/>
  <c r="A259" i="12" s="1"/>
  <c r="A260" i="12" s="1"/>
  <c r="A261" i="12" s="1"/>
  <c r="A262" i="12" s="1"/>
  <c r="A263" i="12" s="1"/>
  <c r="A264" i="12" s="1"/>
  <c r="A265" i="12" s="1"/>
  <c r="F254" i="12"/>
  <c r="F260" i="12" s="1"/>
  <c r="E254" i="12"/>
  <c r="E255" i="12" s="1"/>
  <c r="B254" i="12"/>
  <c r="C243" i="12"/>
  <c r="A242" i="12"/>
  <c r="A243" i="12" s="1"/>
  <c r="A244" i="12" s="1"/>
  <c r="A245" i="12" s="1"/>
  <c r="A246" i="12" s="1"/>
  <c r="A247" i="12" s="1"/>
  <c r="A248" i="12" s="1"/>
  <c r="A249" i="12" s="1"/>
  <c r="A250" i="12" s="1"/>
  <c r="A251" i="12" s="1"/>
  <c r="A252" i="12" s="1"/>
  <c r="E241" i="12"/>
  <c r="E247" i="12" s="1"/>
  <c r="B238" i="12"/>
  <c r="B237" i="12"/>
  <c r="B236" i="12"/>
  <c r="B235" i="12"/>
  <c r="B234" i="12"/>
  <c r="B233" i="12"/>
  <c r="C233" i="12" s="1"/>
  <c r="C232" i="12"/>
  <c r="C231" i="12"/>
  <c r="C230" i="12"/>
  <c r="G230" i="12" s="1"/>
  <c r="C229" i="12"/>
  <c r="A229" i="12"/>
  <c r="A230" i="12" s="1"/>
  <c r="A231" i="12" s="1"/>
  <c r="A232" i="12" s="1"/>
  <c r="A233" i="12" s="1"/>
  <c r="A234" i="12" s="1"/>
  <c r="A235" i="12" s="1"/>
  <c r="A236" i="12" s="1"/>
  <c r="A237" i="12" s="1"/>
  <c r="A238" i="12" s="1"/>
  <c r="A239" i="12" s="1"/>
  <c r="G228" i="12"/>
  <c r="C228" i="12"/>
  <c r="H228" i="12" s="1"/>
  <c r="J228" i="12" s="1"/>
  <c r="K228" i="12" s="1"/>
  <c r="A203" i="12"/>
  <c r="A204" i="12" s="1"/>
  <c r="A205" i="12" s="1"/>
  <c r="A206" i="12" s="1"/>
  <c r="A207" i="12" s="1"/>
  <c r="A208" i="12" s="1"/>
  <c r="A209" i="12" s="1"/>
  <c r="A210" i="12" s="1"/>
  <c r="A211" i="12" s="1"/>
  <c r="A212" i="12" s="1"/>
  <c r="A213" i="12" s="1"/>
  <c r="A193" i="12"/>
  <c r="A194" i="12" s="1"/>
  <c r="A195" i="12" s="1"/>
  <c r="A196" i="12" s="1"/>
  <c r="A197" i="12" s="1"/>
  <c r="A198" i="12" s="1"/>
  <c r="A199" i="12" s="1"/>
  <c r="A200" i="12" s="1"/>
  <c r="A192" i="12"/>
  <c r="A190" i="12"/>
  <c r="A191" i="12" s="1"/>
  <c r="A164" i="12"/>
  <c r="A165" i="12" s="1"/>
  <c r="A166" i="12" s="1"/>
  <c r="A167" i="12" s="1"/>
  <c r="A168" i="12" s="1"/>
  <c r="A169" i="12" s="1"/>
  <c r="A170" i="12" s="1"/>
  <c r="A171" i="12" s="1"/>
  <c r="A172" i="12" s="1"/>
  <c r="A173" i="12" s="1"/>
  <c r="A174" i="12" s="1"/>
  <c r="A150" i="12"/>
  <c r="A151" i="12" s="1"/>
  <c r="A152" i="12" s="1"/>
  <c r="A153" i="12" s="1"/>
  <c r="A154" i="12" s="1"/>
  <c r="A155" i="12" s="1"/>
  <c r="A156" i="12" s="1"/>
  <c r="A157" i="12" s="1"/>
  <c r="A158" i="12" s="1"/>
  <c r="A159" i="12" s="1"/>
  <c r="A160" i="12" s="1"/>
  <c r="A136" i="12"/>
  <c r="A137" i="12" s="1"/>
  <c r="A138" i="12" s="1"/>
  <c r="A139" i="12" s="1"/>
  <c r="A140" i="12" s="1"/>
  <c r="A141" i="12" s="1"/>
  <c r="A142" i="12" s="1"/>
  <c r="A143" i="12" s="1"/>
  <c r="A144" i="12" s="1"/>
  <c r="A145" i="12" s="1"/>
  <c r="A146" i="12" s="1"/>
  <c r="A123" i="12"/>
  <c r="A124" i="12" s="1"/>
  <c r="A125" i="12" s="1"/>
  <c r="A126" i="12" s="1"/>
  <c r="A127" i="12" s="1"/>
  <c r="A128" i="12" s="1"/>
  <c r="A129" i="12" s="1"/>
  <c r="A130" i="12" s="1"/>
  <c r="A131" i="12" s="1"/>
  <c r="A132" i="12" s="1"/>
  <c r="A122" i="12"/>
  <c r="A108" i="12"/>
  <c r="A109" i="12" s="1"/>
  <c r="A110" i="12" s="1"/>
  <c r="A111" i="12" s="1"/>
  <c r="A112" i="12" s="1"/>
  <c r="A113" i="12" s="1"/>
  <c r="A114" i="12" s="1"/>
  <c r="A115" i="12" s="1"/>
  <c r="A116" i="12" s="1"/>
  <c r="A117" i="12" s="1"/>
  <c r="A118" i="12" s="1"/>
  <c r="A95" i="12"/>
  <c r="A96" i="12" s="1"/>
  <c r="A97" i="12" s="1"/>
  <c r="A98" i="12" s="1"/>
  <c r="A99" i="12" s="1"/>
  <c r="A100" i="12" s="1"/>
  <c r="A101" i="12" s="1"/>
  <c r="A102" i="12" s="1"/>
  <c r="A103" i="12" s="1"/>
  <c r="A104" i="12" s="1"/>
  <c r="A94" i="12"/>
  <c r="H62" i="12"/>
  <c r="G61" i="12"/>
  <c r="C61" i="12"/>
  <c r="H61" i="12" s="1"/>
  <c r="G60" i="12"/>
  <c r="B58" i="12"/>
  <c r="C60" i="12" s="1"/>
  <c r="H55" i="12"/>
  <c r="C55" i="12"/>
  <c r="C58" i="12" s="1"/>
  <c r="C54" i="12"/>
  <c r="C53" i="12"/>
  <c r="H53" i="12" s="1"/>
  <c r="B50" i="12"/>
  <c r="C52" i="12" s="1"/>
  <c r="H52" i="12" s="1"/>
  <c r="G47" i="12"/>
  <c r="B45" i="12"/>
  <c r="C47" i="12" s="1"/>
  <c r="H42" i="12"/>
  <c r="B40" i="12"/>
  <c r="C42" i="12" s="1"/>
  <c r="C45" i="12" s="1"/>
  <c r="G37" i="12"/>
  <c r="C37" i="12"/>
  <c r="C40" i="12" s="1"/>
  <c r="H36" i="12"/>
  <c r="G36" i="12"/>
  <c r="C36" i="12"/>
  <c r="G35" i="12"/>
  <c r="C35" i="12"/>
  <c r="H35" i="12" s="1"/>
  <c r="I35" i="12" s="1"/>
  <c r="I36" i="12" s="1"/>
  <c r="G34" i="12"/>
  <c r="C34" i="12"/>
  <c r="H34" i="12" s="1"/>
  <c r="H33" i="12"/>
  <c r="G33" i="12"/>
  <c r="C33" i="12"/>
  <c r="G32" i="12"/>
  <c r="C32" i="12"/>
  <c r="B30" i="12"/>
  <c r="C27" i="12"/>
  <c r="C26" i="12"/>
  <c r="C25" i="12"/>
  <c r="H25" i="12" s="1"/>
  <c r="H24" i="12"/>
  <c r="C24" i="12"/>
  <c r="C23" i="12"/>
  <c r="H23" i="12" s="1"/>
  <c r="C22" i="12"/>
  <c r="H22" i="12" s="1"/>
  <c r="B20" i="12"/>
  <c r="G17" i="12"/>
  <c r="C17" i="12"/>
  <c r="C20" i="12" s="1"/>
  <c r="G16" i="12"/>
  <c r="C16" i="12"/>
  <c r="G15" i="12"/>
  <c r="C15" i="12"/>
  <c r="G14" i="12"/>
  <c r="C14" i="12"/>
  <c r="H14" i="12" s="1"/>
  <c r="G13" i="12"/>
  <c r="C13" i="12"/>
  <c r="G12" i="12"/>
  <c r="H12" i="12" s="1"/>
  <c r="C12" i="12"/>
  <c r="G11" i="12"/>
  <c r="C11" i="12"/>
  <c r="H11" i="12" s="1"/>
  <c r="C261" i="12" l="1"/>
  <c r="C237" i="12"/>
  <c r="G237" i="12" s="1"/>
  <c r="H237" i="12" s="1"/>
  <c r="C263" i="12"/>
  <c r="E244" i="12"/>
  <c r="C264" i="12"/>
  <c r="C234" i="12"/>
  <c r="H17" i="12"/>
  <c r="H20" i="12" s="1"/>
  <c r="I228" i="12"/>
  <c r="H16" i="12"/>
  <c r="G229" i="12"/>
  <c r="H229" i="12" s="1"/>
  <c r="C255" i="12"/>
  <c r="H230" i="12"/>
  <c r="C236" i="12"/>
  <c r="G236" i="12" s="1"/>
  <c r="H236" i="12" s="1"/>
  <c r="E243" i="12"/>
  <c r="C238" i="12"/>
  <c r="G238" i="12" s="1"/>
  <c r="H238" i="12" s="1"/>
  <c r="C257" i="12"/>
  <c r="C239" i="12"/>
  <c r="G239" i="12" s="1"/>
  <c r="H239" i="12" s="1"/>
  <c r="C235" i="12"/>
  <c r="E263" i="12"/>
  <c r="E245" i="12"/>
  <c r="E250" i="12"/>
  <c r="F259" i="12"/>
  <c r="E242" i="12"/>
  <c r="E251" i="12"/>
  <c r="E252" i="12"/>
  <c r="C241" i="12"/>
  <c r="D241" i="12" s="1"/>
  <c r="D242" i="12" s="1"/>
  <c r="D243" i="12" s="1"/>
  <c r="C251" i="12"/>
  <c r="C250" i="12"/>
  <c r="C248" i="12"/>
  <c r="C245" i="12"/>
  <c r="I11" i="12"/>
  <c r="I12" i="12" s="1"/>
  <c r="J11" i="12"/>
  <c r="H32" i="12"/>
  <c r="F264" i="12"/>
  <c r="F256" i="12"/>
  <c r="F261" i="12"/>
  <c r="F258" i="12"/>
  <c r="F263" i="12"/>
  <c r="G263" i="12" s="1"/>
  <c r="H263" i="12" s="1"/>
  <c r="F255" i="12"/>
  <c r="G255" i="12" s="1"/>
  <c r="H255" i="12" s="1"/>
  <c r="F265" i="12"/>
  <c r="F257" i="12"/>
  <c r="F262" i="12"/>
  <c r="C256" i="12"/>
  <c r="H47" i="12"/>
  <c r="C50" i="12"/>
  <c r="E259" i="12"/>
  <c r="E264" i="12"/>
  <c r="E256" i="12"/>
  <c r="E261" i="12"/>
  <c r="E258" i="12"/>
  <c r="E260" i="12"/>
  <c r="G254" i="12"/>
  <c r="E265" i="12"/>
  <c r="E257" i="12"/>
  <c r="D11" i="12"/>
  <c r="D12" i="12" s="1"/>
  <c r="D13" i="12" s="1"/>
  <c r="D14" i="12" s="1"/>
  <c r="D15" i="12" s="1"/>
  <c r="D16" i="12" s="1"/>
  <c r="D17" i="12" s="1"/>
  <c r="D20" i="12" s="1"/>
  <c r="D22" i="12" s="1"/>
  <c r="D23" i="12" s="1"/>
  <c r="D24" i="12" s="1"/>
  <c r="D25" i="12" s="1"/>
  <c r="D26" i="12" s="1"/>
  <c r="D27" i="12" s="1"/>
  <c r="C30" i="12"/>
  <c r="H45" i="12"/>
  <c r="H54" i="12"/>
  <c r="C244" i="12"/>
  <c r="C254" i="12"/>
  <c r="C252" i="12"/>
  <c r="E262" i="12"/>
  <c r="C265" i="12"/>
  <c r="H60" i="12"/>
  <c r="H37" i="12"/>
  <c r="H58" i="12"/>
  <c r="H27" i="12"/>
  <c r="H13" i="12"/>
  <c r="H15" i="12"/>
  <c r="I15" i="12" s="1"/>
  <c r="I16" i="12" s="1"/>
  <c r="I17" i="12" s="1"/>
  <c r="I20" i="12" s="1"/>
  <c r="I22" i="12" s="1"/>
  <c r="I23" i="12" s="1"/>
  <c r="I24" i="12" s="1"/>
  <c r="I25" i="12" s="1"/>
  <c r="H26" i="12"/>
  <c r="C247" i="12"/>
  <c r="C246" i="12"/>
  <c r="E248" i="12"/>
  <c r="C258" i="12"/>
  <c r="E246" i="12"/>
  <c r="D228" i="12"/>
  <c r="D229" i="12" s="1"/>
  <c r="D230" i="12" s="1"/>
  <c r="D231" i="12" s="1"/>
  <c r="D232" i="12" s="1"/>
  <c r="D233" i="12" s="1"/>
  <c r="D234" i="12" s="1"/>
  <c r="E249" i="12"/>
  <c r="H468" i="1"/>
  <c r="H427" i="1"/>
  <c r="H388" i="1"/>
  <c r="H349" i="1"/>
  <c r="H310" i="1"/>
  <c r="H271" i="1"/>
  <c r="H232" i="1"/>
  <c r="H191" i="1"/>
  <c r="H151" i="1"/>
  <c r="H111" i="1"/>
  <c r="H71" i="1"/>
  <c r="H31" i="1"/>
  <c r="D235" i="12" l="1"/>
  <c r="D236" i="12" s="1"/>
  <c r="D237" i="12" s="1"/>
  <c r="D238" i="12" s="1"/>
  <c r="D239" i="12" s="1"/>
  <c r="G257" i="12"/>
  <c r="H257" i="12" s="1"/>
  <c r="J229" i="12"/>
  <c r="K229" i="12" s="1"/>
  <c r="I229" i="12"/>
  <c r="I230" i="12" s="1"/>
  <c r="G264" i="12"/>
  <c r="H264" i="12" s="1"/>
  <c r="D30" i="12"/>
  <c r="D32" i="12"/>
  <c r="D33" i="12" s="1"/>
  <c r="D34" i="12" s="1"/>
  <c r="D35" i="12" s="1"/>
  <c r="D36" i="12" s="1"/>
  <c r="D37" i="12" s="1"/>
  <c r="I37" i="12"/>
  <c r="I40" i="12" s="1"/>
  <c r="I42" i="12" s="1"/>
  <c r="I45" i="12" s="1"/>
  <c r="H40" i="12"/>
  <c r="I13" i="12"/>
  <c r="I14" i="12" s="1"/>
  <c r="D254" i="12"/>
  <c r="D255" i="12" s="1"/>
  <c r="D256" i="12" s="1"/>
  <c r="D257" i="12" s="1"/>
  <c r="D258" i="12" s="1"/>
  <c r="D259" i="12" s="1"/>
  <c r="D260" i="12" s="1"/>
  <c r="D261" i="12" s="1"/>
  <c r="D262" i="12" s="1"/>
  <c r="D263" i="12" s="1"/>
  <c r="D264" i="12" s="1"/>
  <c r="D265" i="12" s="1"/>
  <c r="H254" i="12"/>
  <c r="I254" i="12" s="1"/>
  <c r="I255" i="12" s="1"/>
  <c r="D244" i="12"/>
  <c r="D245" i="12" s="1"/>
  <c r="D246" i="12" s="1"/>
  <c r="D247" i="12" s="1"/>
  <c r="D248" i="12" s="1"/>
  <c r="D249" i="12" s="1"/>
  <c r="D250" i="12" s="1"/>
  <c r="D251" i="12" s="1"/>
  <c r="D252" i="12" s="1"/>
  <c r="G256" i="12"/>
  <c r="H256" i="12" s="1"/>
  <c r="H30" i="12"/>
  <c r="I26" i="12"/>
  <c r="I27" i="12" s="1"/>
  <c r="I30" i="12" s="1"/>
  <c r="I32" i="12" s="1"/>
  <c r="I33" i="12" s="1"/>
  <c r="I34" i="12" s="1"/>
  <c r="G265" i="12"/>
  <c r="H265" i="12" s="1"/>
  <c r="H50" i="12"/>
  <c r="I47" i="12"/>
  <c r="I50" i="12" s="1"/>
  <c r="I52" i="12" s="1"/>
  <c r="I53" i="12" s="1"/>
  <c r="I54" i="12" s="1"/>
  <c r="I55" i="12" s="1"/>
  <c r="I58" i="12" s="1"/>
  <c r="I60" i="12" s="1"/>
  <c r="I61" i="12" s="1"/>
  <c r="I62" i="12" s="1"/>
  <c r="J12" i="12"/>
  <c r="K11" i="12"/>
  <c r="H469" i="1"/>
  <c r="F469" i="1"/>
  <c r="H428" i="1"/>
  <c r="F428" i="1"/>
  <c r="H389" i="1"/>
  <c r="F389" i="1"/>
  <c r="H350" i="1"/>
  <c r="F350" i="1"/>
  <c r="H311" i="1"/>
  <c r="F311" i="1"/>
  <c r="H272" i="1"/>
  <c r="F272" i="1"/>
  <c r="H233" i="1"/>
  <c r="F233" i="1"/>
  <c r="H192" i="1"/>
  <c r="F192" i="1"/>
  <c r="H152" i="1"/>
  <c r="F152" i="1"/>
  <c r="H112" i="1"/>
  <c r="F112" i="1"/>
  <c r="H72" i="1"/>
  <c r="F72" i="1"/>
  <c r="H32" i="1"/>
  <c r="F32" i="1"/>
  <c r="J230" i="12" l="1"/>
  <c r="K230" i="12" s="1"/>
  <c r="G231" i="12" s="1"/>
  <c r="H231" i="12" s="1"/>
  <c r="I231" i="12" s="1"/>
  <c r="J231" i="12"/>
  <c r="K231" i="12" s="1"/>
  <c r="G232" i="12" s="1"/>
  <c r="H232" i="12" s="1"/>
  <c r="I232" i="12" s="1"/>
  <c r="I256" i="12"/>
  <c r="I257" i="12" s="1"/>
  <c r="D40" i="12"/>
  <c r="D42" i="12"/>
  <c r="D45" i="12" s="1"/>
  <c r="D47" i="12" s="1"/>
  <c r="J13" i="12"/>
  <c r="K12" i="12"/>
  <c r="J232" i="12" l="1"/>
  <c r="K232" i="12" s="1"/>
  <c r="G233" i="12" s="1"/>
  <c r="H233" i="12" s="1"/>
  <c r="J233" i="12" s="1"/>
  <c r="K233" i="12" s="1"/>
  <c r="G234" i="12" s="1"/>
  <c r="H234" i="12" s="1"/>
  <c r="K13" i="12"/>
  <c r="J14" i="12"/>
  <c r="D50" i="12"/>
  <c r="D52" i="12"/>
  <c r="D53" i="12" s="1"/>
  <c r="D54" i="12" s="1"/>
  <c r="D55" i="12" s="1"/>
  <c r="S8" i="7"/>
  <c r="S9" i="7"/>
  <c r="S10" i="7"/>
  <c r="S11" i="7"/>
  <c r="S12" i="7"/>
  <c r="S13" i="7"/>
  <c r="S14" i="7"/>
  <c r="S15" i="7"/>
  <c r="S16" i="7"/>
  <c r="S17" i="7"/>
  <c r="S18" i="7"/>
  <c r="S19" i="7"/>
  <c r="I233" i="12" l="1"/>
  <c r="I234" i="12" s="1"/>
  <c r="J234" i="12"/>
  <c r="K234" i="12" s="1"/>
  <c r="G235" i="12" s="1"/>
  <c r="H235" i="12" s="1"/>
  <c r="J15" i="12"/>
  <c r="K14" i="12"/>
  <c r="D58" i="12"/>
  <c r="D60" i="12"/>
  <c r="D61" i="12" s="1"/>
  <c r="D62" i="12" s="1"/>
  <c r="K15" i="12" l="1"/>
  <c r="J16" i="12"/>
  <c r="J235" i="12"/>
  <c r="I235" i="12"/>
  <c r="I236" i="12" s="1"/>
  <c r="I237" i="12" s="1"/>
  <c r="I238" i="12" s="1"/>
  <c r="I239" i="12" s="1"/>
  <c r="S24" i="10"/>
  <c r="S22" i="10"/>
  <c r="S9" i="10"/>
  <c r="S7" i="10"/>
  <c r="AY468" i="1"/>
  <c r="AY427" i="1"/>
  <c r="AY388" i="1"/>
  <c r="AM308" i="1"/>
  <c r="AN308" i="1"/>
  <c r="AO308" i="1"/>
  <c r="AP308" i="1"/>
  <c r="AQ308" i="1"/>
  <c r="AR308" i="1"/>
  <c r="AS308" i="1"/>
  <c r="AT308" i="1"/>
  <c r="AU308" i="1"/>
  <c r="AV308" i="1"/>
  <c r="AW308" i="1"/>
  <c r="AX308" i="1"/>
  <c r="AY308" i="1"/>
  <c r="K16" i="12" l="1"/>
  <c r="J17" i="12"/>
  <c r="K235" i="12"/>
  <c r="J236" i="12"/>
  <c r="K236" i="12" l="1"/>
  <c r="J237" i="12"/>
  <c r="J20" i="12"/>
  <c r="J22" i="12" s="1"/>
  <c r="K17" i="12"/>
  <c r="K20" i="12" s="1"/>
  <c r="AX32" i="1"/>
  <c r="AX33" i="1" s="1"/>
  <c r="AW32" i="1"/>
  <c r="AW33" i="1" s="1"/>
  <c r="AQ32" i="1"/>
  <c r="AQ33" i="1" s="1"/>
  <c r="AY29" i="1"/>
  <c r="AY32" i="1" s="1"/>
  <c r="AY33" i="1" s="1"/>
  <c r="AX29" i="1"/>
  <c r="AW29" i="1"/>
  <c r="AV29" i="1"/>
  <c r="AV32" i="1" s="1"/>
  <c r="AV33" i="1" s="1"/>
  <c r="AU29" i="1"/>
  <c r="AU32" i="1" s="1"/>
  <c r="AU33" i="1" s="1"/>
  <c r="AT29" i="1"/>
  <c r="AT32" i="1" s="1"/>
  <c r="AT33" i="1" s="1"/>
  <c r="AS29" i="1"/>
  <c r="AS32" i="1" s="1"/>
  <c r="AS33" i="1" s="1"/>
  <c r="AR29" i="1"/>
  <c r="AR32" i="1" s="1"/>
  <c r="AR33" i="1" s="1"/>
  <c r="AQ29" i="1"/>
  <c r="AP29" i="1"/>
  <c r="AP32" i="1" s="1"/>
  <c r="AP33" i="1" s="1"/>
  <c r="AO29" i="1"/>
  <c r="AO32" i="1" s="1"/>
  <c r="AO33" i="1" s="1"/>
  <c r="AN29" i="1"/>
  <c r="AN32" i="1" s="1"/>
  <c r="AN33" i="1" s="1"/>
  <c r="AM29" i="1"/>
  <c r="AM32" i="1" s="1"/>
  <c r="AM33" i="1" s="1"/>
  <c r="J23" i="12" l="1"/>
  <c r="K22" i="12"/>
  <c r="K237" i="12"/>
  <c r="J238" i="12"/>
  <c r="C23" i="10"/>
  <c r="C22" i="10"/>
  <c r="C7" i="10"/>
  <c r="C8" i="10"/>
  <c r="C28" i="10"/>
  <c r="C27" i="10"/>
  <c r="K238" i="12" l="1"/>
  <c r="J239" i="12"/>
  <c r="J24" i="12"/>
  <c r="K23" i="12"/>
  <c r="O35" i="7"/>
  <c r="N35" i="7"/>
  <c r="M35" i="7"/>
  <c r="L35" i="7"/>
  <c r="K35" i="7"/>
  <c r="J35" i="7"/>
  <c r="I35" i="7"/>
  <c r="H35" i="7"/>
  <c r="G35" i="7"/>
  <c r="F35" i="7"/>
  <c r="E35" i="7"/>
  <c r="D35" i="7"/>
  <c r="K24" i="12" l="1"/>
  <c r="J25" i="12"/>
  <c r="K239" i="12"/>
  <c r="B187" i="10"/>
  <c r="B188" i="10"/>
  <c r="D187" i="10"/>
  <c r="D188" i="10"/>
  <c r="S174" i="10"/>
  <c r="S159" i="10"/>
  <c r="S144" i="10"/>
  <c r="S84" i="10"/>
  <c r="S69" i="10"/>
  <c r="S54" i="10"/>
  <c r="J26" i="12" l="1"/>
  <c r="K25" i="12"/>
  <c r="S39" i="10"/>
  <c r="J27" i="12" l="1"/>
  <c r="J30" i="12"/>
  <c r="K26" i="12"/>
  <c r="M28" i="10"/>
  <c r="M24" i="10"/>
  <c r="C25" i="10"/>
  <c r="J32" i="12" l="1"/>
  <c r="K27" i="12"/>
  <c r="K30" i="12" s="1"/>
  <c r="S29" i="1"/>
  <c r="S32" i="1" s="1"/>
  <c r="S33" i="1" s="1"/>
  <c r="K32" i="12" l="1"/>
  <c r="J33" i="12"/>
  <c r="K33" i="12" l="1"/>
  <c r="J34" i="12"/>
  <c r="M13" i="10"/>
  <c r="M9" i="10"/>
  <c r="C13" i="10"/>
  <c r="C12" i="10"/>
  <c r="C10" i="10"/>
  <c r="K34" i="12" l="1"/>
  <c r="J35" i="12"/>
  <c r="J36" i="12" l="1"/>
  <c r="K35" i="12"/>
  <c r="J37" i="12" l="1"/>
  <c r="K36" i="12"/>
  <c r="M347" i="1"/>
  <c r="K37" i="12" l="1"/>
  <c r="K40" i="12" s="1"/>
  <c r="J40" i="12"/>
  <c r="J42" i="12" s="1"/>
  <c r="K42" i="12" l="1"/>
  <c r="K45" i="12" s="1"/>
  <c r="J45" i="12"/>
  <c r="J47" i="12" s="1"/>
  <c r="K47" i="12" l="1"/>
  <c r="K50" i="12" s="1"/>
  <c r="J50" i="12"/>
  <c r="J52" i="12" s="1"/>
  <c r="S347" i="1"/>
  <c r="S350" i="1" s="1"/>
  <c r="S351" i="1" s="1"/>
  <c r="M350" i="1"/>
  <c r="M351" i="1" s="1"/>
  <c r="K52" i="12" l="1"/>
  <c r="J53" i="12"/>
  <c r="C4" i="10"/>
  <c r="C19" i="10"/>
  <c r="C34" i="10"/>
  <c r="C37" i="10"/>
  <c r="C38" i="10"/>
  <c r="C40" i="10"/>
  <c r="C42" i="10"/>
  <c r="C64" i="10"/>
  <c r="C67" i="10"/>
  <c r="C68" i="10"/>
  <c r="C70" i="10"/>
  <c r="C49" i="10"/>
  <c r="C52" i="10"/>
  <c r="C53" i="10"/>
  <c r="C55" i="10"/>
  <c r="C57" i="10"/>
  <c r="C58" i="10"/>
  <c r="C72" i="10"/>
  <c r="C73" i="10"/>
  <c r="K53" i="12" l="1"/>
  <c r="J54" i="12"/>
  <c r="J58" i="12" l="1"/>
  <c r="K54" i="12"/>
  <c r="J55" i="12"/>
  <c r="T189" i="10"/>
  <c r="D193" i="10"/>
  <c r="B193" i="10"/>
  <c r="D192" i="10"/>
  <c r="B192" i="10"/>
  <c r="D190" i="10"/>
  <c r="B190" i="10"/>
  <c r="D189" i="10"/>
  <c r="B189" i="10"/>
  <c r="D184" i="10"/>
  <c r="B184" i="10"/>
  <c r="J60" i="12" l="1"/>
  <c r="K55" i="12"/>
  <c r="K58" i="12" s="1"/>
  <c r="C192" i="10"/>
  <c r="C193" i="10"/>
  <c r="C190" i="10"/>
  <c r="C187" i="10"/>
  <c r="C188" i="10"/>
  <c r="C189" i="10"/>
  <c r="K60" i="12" l="1"/>
  <c r="J61" i="12"/>
  <c r="N195" i="10"/>
  <c r="D195" i="10"/>
  <c r="B195" i="10"/>
  <c r="N180" i="10"/>
  <c r="C180" i="10"/>
  <c r="M178" i="10"/>
  <c r="C178" i="10"/>
  <c r="C177" i="10"/>
  <c r="C175" i="10"/>
  <c r="M174" i="10"/>
  <c r="C173" i="10"/>
  <c r="C172" i="10"/>
  <c r="C169" i="10"/>
  <c r="N165" i="10"/>
  <c r="C165" i="10"/>
  <c r="M163" i="10"/>
  <c r="C163" i="10"/>
  <c r="C162" i="10"/>
  <c r="C160" i="10"/>
  <c r="M159" i="10"/>
  <c r="C158" i="10"/>
  <c r="C157" i="10"/>
  <c r="C154" i="10"/>
  <c r="N150" i="10"/>
  <c r="C150" i="10"/>
  <c r="C148" i="10"/>
  <c r="C147" i="10"/>
  <c r="C145" i="10"/>
  <c r="C143" i="10"/>
  <c r="C142" i="10"/>
  <c r="C139" i="10"/>
  <c r="N135" i="10"/>
  <c r="C135" i="10"/>
  <c r="C133" i="10"/>
  <c r="C132" i="10"/>
  <c r="C130" i="10"/>
  <c r="C128" i="10"/>
  <c r="C127" i="10"/>
  <c r="C124" i="10"/>
  <c r="N120" i="10"/>
  <c r="C120" i="10"/>
  <c r="C118" i="10"/>
  <c r="C117" i="10"/>
  <c r="C115" i="10"/>
  <c r="C113" i="10"/>
  <c r="C112" i="10"/>
  <c r="C109" i="10"/>
  <c r="N105" i="10"/>
  <c r="C105" i="10"/>
  <c r="C103" i="10"/>
  <c r="C102" i="10"/>
  <c r="C100" i="10"/>
  <c r="C98" i="10"/>
  <c r="C97" i="10"/>
  <c r="C94" i="10"/>
  <c r="N90" i="10"/>
  <c r="C90" i="10"/>
  <c r="C88" i="10"/>
  <c r="C87" i="10"/>
  <c r="C85" i="10"/>
  <c r="C83" i="10"/>
  <c r="C82" i="10"/>
  <c r="C79" i="10"/>
  <c r="N75" i="10"/>
  <c r="C75" i="10"/>
  <c r="N60" i="10"/>
  <c r="C60" i="10"/>
  <c r="N45" i="10"/>
  <c r="C45" i="10"/>
  <c r="C43" i="10"/>
  <c r="N30" i="10"/>
  <c r="C30" i="10"/>
  <c r="N15" i="10"/>
  <c r="C15" i="10"/>
  <c r="J62" i="12" l="1"/>
  <c r="K62" i="12" s="1"/>
  <c r="K61" i="12"/>
  <c r="C195" i="10"/>
  <c r="C184" i="10"/>
  <c r="BC474" i="1" l="1"/>
  <c r="BC433" i="1"/>
  <c r="BC394" i="1"/>
  <c r="BC355" i="1"/>
  <c r="BC316" i="1"/>
  <c r="BC277" i="1"/>
  <c r="BC238" i="1"/>
  <c r="BC197" i="1"/>
  <c r="BC157" i="1"/>
  <c r="BC117" i="1"/>
  <c r="BC77" i="1"/>
  <c r="BC37" i="1"/>
  <c r="X109" i="9" l="1"/>
  <c r="V108" i="9"/>
  <c r="P108" i="9"/>
  <c r="L108" i="9"/>
  <c r="K108" i="9"/>
  <c r="J108" i="9"/>
  <c r="G108" i="9"/>
  <c r="F108" i="9"/>
  <c r="X107" i="9"/>
  <c r="X105" i="9"/>
  <c r="X103" i="9"/>
  <c r="X101" i="9"/>
  <c r="X99" i="9"/>
  <c r="X97" i="9"/>
  <c r="X95" i="9"/>
  <c r="X93" i="9"/>
  <c r="X91" i="9"/>
  <c r="X89" i="9"/>
  <c r="X87" i="9"/>
  <c r="N108" i="9"/>
  <c r="X85" i="9"/>
  <c r="X83" i="9"/>
  <c r="X61" i="9"/>
  <c r="V60" i="9"/>
  <c r="P60" i="9"/>
  <c r="L60" i="9"/>
  <c r="K60" i="9"/>
  <c r="J60" i="9"/>
  <c r="G60" i="9"/>
  <c r="F60" i="9"/>
  <c r="X59" i="9"/>
  <c r="X57" i="9"/>
  <c r="X55" i="9"/>
  <c r="X53" i="9"/>
  <c r="X51" i="9"/>
  <c r="X49" i="9"/>
  <c r="X47" i="9"/>
  <c r="X45" i="9"/>
  <c r="X43" i="9"/>
  <c r="X41" i="9"/>
  <c r="X39" i="9"/>
  <c r="X37" i="9"/>
  <c r="X35" i="9"/>
  <c r="Y29" i="9"/>
  <c r="Y43" i="9" l="1"/>
  <c r="Y53" i="9"/>
  <c r="Y51" i="9"/>
  <c r="Y57" i="9"/>
  <c r="Y95" i="9"/>
  <c r="Y93" i="9"/>
  <c r="Y101" i="9"/>
  <c r="Y83" i="9"/>
  <c r="Z37" i="9"/>
  <c r="Z45" i="9"/>
  <c r="Y47" i="9"/>
  <c r="Y89" i="9"/>
  <c r="Y39" i="9"/>
  <c r="Z95" i="9"/>
  <c r="Z99" i="9"/>
  <c r="Y55" i="9"/>
  <c r="O60" i="9"/>
  <c r="Z57" i="9"/>
  <c r="Z105" i="9"/>
  <c r="M60" i="9"/>
  <c r="Y35" i="9"/>
  <c r="Y41" i="9"/>
  <c r="Y91" i="9"/>
  <c r="Y99" i="9"/>
  <c r="Z35" i="9"/>
  <c r="Z55" i="9"/>
  <c r="M108" i="9"/>
  <c r="Z91" i="9"/>
  <c r="Y97" i="9"/>
  <c r="Y103" i="9"/>
  <c r="Z43" i="9"/>
  <c r="Z53" i="9"/>
  <c r="N60" i="9"/>
  <c r="AJ22" i="9"/>
  <c r="AL24" i="9"/>
  <c r="AL32" i="9"/>
  <c r="T37" i="9"/>
  <c r="T41" i="9"/>
  <c r="AJ25" i="9"/>
  <c r="AJ27" i="9"/>
  <c r="AJ28" i="9"/>
  <c r="T35" i="9"/>
  <c r="T51" i="9"/>
  <c r="AK22" i="9"/>
  <c r="AK30" i="9"/>
  <c r="AJ23" i="9"/>
  <c r="AJ26" i="9"/>
  <c r="AJ31" i="9"/>
  <c r="AJ32" i="9"/>
  <c r="AK32" i="9"/>
  <c r="AL30" i="9"/>
  <c r="AJ24" i="9"/>
  <c r="T47" i="9"/>
  <c r="AK23" i="9"/>
  <c r="T43" i="9"/>
  <c r="T55" i="9"/>
  <c r="AL28" i="9"/>
  <c r="AK26" i="9"/>
  <c r="T39" i="9"/>
  <c r="AJ29" i="9"/>
  <c r="AJ30" i="9"/>
  <c r="AJ33" i="9"/>
  <c r="AK28" i="9"/>
  <c r="AL26" i="9"/>
  <c r="AK24" i="9"/>
  <c r="AL22" i="9"/>
  <c r="T45" i="9"/>
  <c r="T49" i="9"/>
  <c r="T53" i="9"/>
  <c r="T57" i="9"/>
  <c r="T85" i="9"/>
  <c r="T89" i="9"/>
  <c r="T93" i="9"/>
  <c r="T97" i="9"/>
  <c r="T101" i="9"/>
  <c r="T105" i="9"/>
  <c r="AK25" i="9"/>
  <c r="AK27" i="9"/>
  <c r="AK29" i="9"/>
  <c r="AK31" i="9"/>
  <c r="AK33" i="9"/>
  <c r="AL23" i="9"/>
  <c r="AL25" i="9"/>
  <c r="AL27" i="9"/>
  <c r="AL29" i="9"/>
  <c r="AL31" i="9"/>
  <c r="AL33" i="9"/>
  <c r="T83" i="9"/>
  <c r="T87" i="9"/>
  <c r="T91" i="9"/>
  <c r="T95" i="9"/>
  <c r="T99" i="9"/>
  <c r="T103" i="9"/>
  <c r="Y37" i="9"/>
  <c r="Z83" i="9"/>
  <c r="Z51" i="9"/>
  <c r="H60" i="9"/>
  <c r="Y49" i="9"/>
  <c r="H108" i="9"/>
  <c r="Z103" i="9"/>
  <c r="Z49" i="9"/>
  <c r="Y105" i="9"/>
  <c r="Z47" i="9"/>
  <c r="Y45" i="9"/>
  <c r="O108" i="9"/>
  <c r="Y85" i="9"/>
  <c r="Z39" i="9"/>
  <c r="Y87" i="9"/>
  <c r="Z85" i="9"/>
  <c r="Z41" i="9"/>
  <c r="Z87" i="9"/>
  <c r="Z89" i="9"/>
  <c r="Z93" i="9"/>
  <c r="Z97" i="9"/>
  <c r="Z101" i="9"/>
  <c r="T60" i="9" l="1"/>
  <c r="I60" i="9"/>
  <c r="U35" i="9"/>
  <c r="T108" i="9"/>
  <c r="I108" i="9" l="1"/>
  <c r="W35" i="9"/>
  <c r="X36" i="9" l="1"/>
  <c r="Y36" i="9"/>
  <c r="Z36" i="9"/>
  <c r="U37" i="9" l="1"/>
  <c r="W37" i="9" l="1"/>
  <c r="Z38" i="9" s="1"/>
  <c r="X38" i="9" l="1"/>
  <c r="Y38" i="9"/>
  <c r="U39" i="9"/>
  <c r="W39" i="9" l="1"/>
  <c r="Z40" i="9" s="1"/>
  <c r="X40" i="9"/>
  <c r="Y40" i="9"/>
  <c r="U41" i="9" l="1"/>
  <c r="W41" i="9" l="1"/>
  <c r="X42" i="9" s="1"/>
  <c r="Z42" i="9" l="1"/>
  <c r="Y42" i="9"/>
  <c r="U43" i="9"/>
  <c r="W43" i="9" l="1"/>
  <c r="Z44" i="9"/>
  <c r="X44" i="9"/>
  <c r="Y44" i="9"/>
  <c r="U45" i="9" l="1"/>
  <c r="W45" i="9" l="1"/>
  <c r="X46" i="9" s="1"/>
  <c r="Z46" i="9" l="1"/>
  <c r="Y46" i="9"/>
  <c r="U47" i="9"/>
  <c r="W47" i="9" s="1"/>
  <c r="Z48" i="9" l="1"/>
  <c r="Y48" i="9"/>
  <c r="X48" i="9"/>
  <c r="U49" i="9" l="1"/>
  <c r="W49" i="9" s="1"/>
  <c r="X50" i="9" l="1"/>
  <c r="Z50" i="9"/>
  <c r="Y50" i="9"/>
  <c r="U51" i="9" l="1"/>
  <c r="W51" i="9" s="1"/>
  <c r="Z52" i="9" l="1"/>
  <c r="Y52" i="9"/>
  <c r="X52" i="9"/>
  <c r="U53" i="9" l="1"/>
  <c r="W53" i="9" s="1"/>
  <c r="X54" i="9" l="1"/>
  <c r="Z54" i="9"/>
  <c r="Y54" i="9"/>
  <c r="U55" i="9" l="1"/>
  <c r="W55" i="9" s="1"/>
  <c r="Z56" i="9" l="1"/>
  <c r="Y56" i="9"/>
  <c r="X56" i="9"/>
  <c r="U57" i="9" l="1"/>
  <c r="W57" i="9" l="1"/>
  <c r="Z58" i="9" s="1"/>
  <c r="U60" i="9"/>
  <c r="Y58" i="9" l="1"/>
  <c r="X58" i="9"/>
  <c r="U83" i="9"/>
  <c r="W83" i="9" l="1"/>
  <c r="Z84" i="9" l="1"/>
  <c r="Y84" i="9"/>
  <c r="X84" i="9"/>
  <c r="U85" i="9" l="1"/>
  <c r="W85" i="9" l="1"/>
  <c r="X86" i="9" s="1"/>
  <c r="Z86" i="9" l="1"/>
  <c r="Y86" i="9"/>
  <c r="U87" i="9"/>
  <c r="W87" i="9" l="1"/>
  <c r="Z88" i="9" s="1"/>
  <c r="Y88" i="9"/>
  <c r="X88" i="9" l="1"/>
  <c r="U89" i="9"/>
  <c r="W89" i="9" l="1"/>
  <c r="Z90" i="9" s="1"/>
  <c r="Y90" i="9" l="1"/>
  <c r="X90" i="9"/>
  <c r="U91" i="9"/>
  <c r="W91" i="9" l="1"/>
  <c r="Z92" i="9" s="1"/>
  <c r="Y92" i="9"/>
  <c r="X92" i="9"/>
  <c r="U93" i="9" l="1"/>
  <c r="W93" i="9" l="1"/>
  <c r="Z94" i="9" s="1"/>
  <c r="X94" i="9" l="1"/>
  <c r="Y94" i="9"/>
  <c r="U95" i="9"/>
  <c r="W95" i="9" l="1"/>
  <c r="Z96" i="9" s="1"/>
  <c r="X96" i="9" l="1"/>
  <c r="Y96" i="9"/>
  <c r="U97" i="9"/>
  <c r="W97" i="9" s="1"/>
  <c r="Z98" i="9" l="1"/>
  <c r="Y98" i="9"/>
  <c r="X98" i="9"/>
  <c r="U99" i="9" l="1"/>
  <c r="W99" i="9" s="1"/>
  <c r="Z100" i="9" l="1"/>
  <c r="Y100" i="9"/>
  <c r="X100" i="9"/>
  <c r="U101" i="9" l="1"/>
  <c r="W101" i="9" s="1"/>
  <c r="Z102" i="9" l="1"/>
  <c r="Y102" i="9"/>
  <c r="X102" i="9"/>
  <c r="U103" i="9" l="1"/>
  <c r="W103" i="9" s="1"/>
  <c r="Z104" i="9" l="1"/>
  <c r="Y104" i="9"/>
  <c r="X104" i="9"/>
  <c r="U105" i="9" l="1"/>
  <c r="W105" i="9" l="1"/>
  <c r="U108" i="9"/>
  <c r="Z106" i="9"/>
  <c r="Y106" i="9"/>
  <c r="X106" i="9"/>
  <c r="BE109" i="1" l="1"/>
  <c r="U230" i="1" l="1"/>
  <c r="U233" i="1" s="1"/>
  <c r="U234" i="1" s="1"/>
  <c r="AY230" i="1" l="1"/>
  <c r="AY69" i="1"/>
  <c r="AY386" i="1"/>
  <c r="AY425" i="1"/>
  <c r="AY466" i="1"/>
  <c r="U109" i="1" l="1"/>
  <c r="U112" i="1" s="1"/>
  <c r="U113" i="1" s="1"/>
  <c r="U69" i="1"/>
  <c r="U72" i="1" l="1"/>
  <c r="U73" i="1" s="1"/>
  <c r="B6" i="8"/>
  <c r="BD446" i="1" l="1"/>
  <c r="Z446" i="1"/>
  <c r="BD401" i="1"/>
  <c r="Z405" i="1"/>
  <c r="BD366" i="1"/>
  <c r="Z364" i="1"/>
  <c r="BD328" i="1"/>
  <c r="Z324" i="1"/>
  <c r="BD289" i="1"/>
  <c r="Z287" i="1"/>
  <c r="BD249" i="1"/>
  <c r="BD210" i="1"/>
  <c r="Z211" i="1"/>
  <c r="BD168" i="1"/>
  <c r="Z167" i="1"/>
  <c r="BD129" i="1"/>
  <c r="Z128" i="1"/>
  <c r="BD89" i="1"/>
  <c r="Z88" i="1"/>
  <c r="BD48" i="1"/>
  <c r="Z48" i="1"/>
  <c r="BD9" i="1"/>
  <c r="Z7" i="1"/>
  <c r="Z125" i="1"/>
  <c r="BD229" i="1" l="1"/>
  <c r="BD228" i="1"/>
  <c r="BD211" i="1"/>
  <c r="BD209" i="1"/>
  <c r="BD208" i="1"/>
  <c r="BD207" i="1"/>
  <c r="BD206" i="1"/>
  <c r="BD245" i="1"/>
  <c r="BD246" i="1"/>
  <c r="BD247" i="1"/>
  <c r="BD248" i="1"/>
  <c r="BD250" i="1"/>
  <c r="BD267" i="1"/>
  <c r="BD268" i="1"/>
  <c r="Z229" i="1" l="1"/>
  <c r="Z228" i="1"/>
  <c r="Z210" i="1"/>
  <c r="Z209" i="1"/>
  <c r="Z208" i="1"/>
  <c r="Z207" i="1"/>
  <c r="Z206" i="1"/>
  <c r="BD188" i="1"/>
  <c r="BD187" i="1"/>
  <c r="BD170" i="1"/>
  <c r="BD169" i="1"/>
  <c r="BD167" i="1"/>
  <c r="BD166" i="1"/>
  <c r="BD165" i="1"/>
  <c r="Z188" i="1"/>
  <c r="Z187" i="1"/>
  <c r="Z170" i="1"/>
  <c r="Z169" i="1"/>
  <c r="Z168" i="1"/>
  <c r="Z166" i="1"/>
  <c r="Z165" i="1"/>
  <c r="BD148" i="1"/>
  <c r="BD147" i="1"/>
  <c r="BD130" i="1"/>
  <c r="BD128" i="1"/>
  <c r="BD127" i="1"/>
  <c r="BD126" i="1"/>
  <c r="BD125" i="1"/>
  <c r="Z148" i="1"/>
  <c r="Z147" i="1"/>
  <c r="Z130" i="1"/>
  <c r="Z129" i="1"/>
  <c r="Z127" i="1"/>
  <c r="Z126" i="1"/>
  <c r="BF9" i="1"/>
  <c r="BE29" i="1"/>
  <c r="AF470" i="1" l="1"/>
  <c r="AF469" i="1"/>
  <c r="AY469" i="1"/>
  <c r="AY470" i="1" s="1"/>
  <c r="AX466" i="1"/>
  <c r="AX469" i="1" s="1"/>
  <c r="AX470" i="1" s="1"/>
  <c r="AW466" i="1"/>
  <c r="AW469" i="1" s="1"/>
  <c r="AW470" i="1" s="1"/>
  <c r="AV466" i="1"/>
  <c r="AV469" i="1" s="1"/>
  <c r="AV470" i="1" s="1"/>
  <c r="AU466" i="1"/>
  <c r="AU469" i="1" s="1"/>
  <c r="AU470" i="1" s="1"/>
  <c r="AT466" i="1"/>
  <c r="AT469" i="1" s="1"/>
  <c r="AT470" i="1" s="1"/>
  <c r="AS466" i="1"/>
  <c r="AS469" i="1" s="1"/>
  <c r="AS470" i="1" s="1"/>
  <c r="AR466" i="1"/>
  <c r="AR469" i="1" s="1"/>
  <c r="AR470" i="1" s="1"/>
  <c r="AQ466" i="1"/>
  <c r="AQ469" i="1" s="1"/>
  <c r="AQ470" i="1" s="1"/>
  <c r="AP466" i="1"/>
  <c r="AP469" i="1" s="1"/>
  <c r="AP470" i="1" s="1"/>
  <c r="AO466" i="1"/>
  <c r="AO469" i="1" s="1"/>
  <c r="AO470" i="1" s="1"/>
  <c r="AN466" i="1"/>
  <c r="AN469" i="1" s="1"/>
  <c r="AN470" i="1" s="1"/>
  <c r="AM466" i="1"/>
  <c r="AM469" i="1" s="1"/>
  <c r="AM470" i="1" s="1"/>
  <c r="AL466" i="1"/>
  <c r="AK466" i="1"/>
  <c r="AF466" i="1"/>
  <c r="AF468" i="1" s="1"/>
  <c r="BD465" i="1"/>
  <c r="AZ465" i="1"/>
  <c r="BD464" i="1"/>
  <c r="AZ464" i="1"/>
  <c r="BD447" i="1"/>
  <c r="AZ447" i="1"/>
  <c r="AZ446" i="1"/>
  <c r="BD445" i="1"/>
  <c r="AZ445" i="1"/>
  <c r="BD444" i="1"/>
  <c r="AZ444" i="1"/>
  <c r="BD443" i="1"/>
  <c r="AZ443" i="1"/>
  <c r="BD442" i="1"/>
  <c r="AZ442" i="1"/>
  <c r="AF429" i="1"/>
  <c r="AF428" i="1"/>
  <c r="AY428" i="1"/>
  <c r="AY429" i="1" s="1"/>
  <c r="AX425" i="1"/>
  <c r="AX428" i="1" s="1"/>
  <c r="AX429" i="1" s="1"/>
  <c r="AW425" i="1"/>
  <c r="AW428" i="1" s="1"/>
  <c r="AW429" i="1" s="1"/>
  <c r="AV425" i="1"/>
  <c r="AV428" i="1" s="1"/>
  <c r="AV429" i="1" s="1"/>
  <c r="AU425" i="1"/>
  <c r="AU428" i="1" s="1"/>
  <c r="AU429" i="1" s="1"/>
  <c r="AT425" i="1"/>
  <c r="AT428" i="1" s="1"/>
  <c r="AT429" i="1" s="1"/>
  <c r="AS425" i="1"/>
  <c r="AS428" i="1" s="1"/>
  <c r="AS429" i="1" s="1"/>
  <c r="AR425" i="1"/>
  <c r="AR428" i="1" s="1"/>
  <c r="AR429" i="1" s="1"/>
  <c r="AQ425" i="1"/>
  <c r="AQ428" i="1" s="1"/>
  <c r="AQ429" i="1" s="1"/>
  <c r="AP425" i="1"/>
  <c r="AP428" i="1" s="1"/>
  <c r="AP429" i="1" s="1"/>
  <c r="AO425" i="1"/>
  <c r="AO428" i="1" s="1"/>
  <c r="AO429" i="1" s="1"/>
  <c r="AN425" i="1"/>
  <c r="AN428" i="1" s="1"/>
  <c r="AN429" i="1" s="1"/>
  <c r="AM425" i="1"/>
  <c r="AM428" i="1" s="1"/>
  <c r="AM429" i="1" s="1"/>
  <c r="AL425" i="1"/>
  <c r="AK425" i="1"/>
  <c r="AF425" i="1"/>
  <c r="AF427" i="1" s="1"/>
  <c r="BD424" i="1"/>
  <c r="BF424" i="1" s="1"/>
  <c r="AZ424" i="1"/>
  <c r="BD423" i="1"/>
  <c r="AZ423" i="1"/>
  <c r="BD406" i="1"/>
  <c r="BF406" i="1" s="1"/>
  <c r="AZ406" i="1"/>
  <c r="BD405" i="1"/>
  <c r="BF405" i="1" s="1"/>
  <c r="AZ405" i="1"/>
  <c r="BD404" i="1"/>
  <c r="BF404" i="1" s="1"/>
  <c r="AZ404" i="1"/>
  <c r="BD403" i="1"/>
  <c r="AZ403" i="1"/>
  <c r="BD402" i="1"/>
  <c r="AZ402" i="1"/>
  <c r="BF401" i="1"/>
  <c r="AZ401" i="1"/>
  <c r="AF390" i="1"/>
  <c r="AF389" i="1"/>
  <c r="AY389" i="1"/>
  <c r="AY390" i="1" s="1"/>
  <c r="AX386" i="1"/>
  <c r="AX389" i="1" s="1"/>
  <c r="AX390" i="1" s="1"/>
  <c r="AW386" i="1"/>
  <c r="AW389" i="1" s="1"/>
  <c r="AW390" i="1" s="1"/>
  <c r="AV386" i="1"/>
  <c r="AV389" i="1" s="1"/>
  <c r="AV390" i="1" s="1"/>
  <c r="AU386" i="1"/>
  <c r="AU389" i="1" s="1"/>
  <c r="AU390" i="1" s="1"/>
  <c r="AT386" i="1"/>
  <c r="AT389" i="1" s="1"/>
  <c r="AT390" i="1" s="1"/>
  <c r="AS386" i="1"/>
  <c r="AS389" i="1" s="1"/>
  <c r="AS390" i="1" s="1"/>
  <c r="AR386" i="1"/>
  <c r="AR389" i="1" s="1"/>
  <c r="AR390" i="1" s="1"/>
  <c r="AQ386" i="1"/>
  <c r="AQ389" i="1" s="1"/>
  <c r="AQ390" i="1" s="1"/>
  <c r="AP386" i="1"/>
  <c r="AP389" i="1" s="1"/>
  <c r="AP390" i="1" s="1"/>
  <c r="AO386" i="1"/>
  <c r="AO389" i="1" s="1"/>
  <c r="AO390" i="1" s="1"/>
  <c r="AN386" i="1"/>
  <c r="AN389" i="1" s="1"/>
  <c r="AN390" i="1" s="1"/>
  <c r="AM386" i="1"/>
  <c r="AM389" i="1" s="1"/>
  <c r="AM390" i="1" s="1"/>
  <c r="AL386" i="1"/>
  <c r="AK386" i="1"/>
  <c r="AF386" i="1"/>
  <c r="AF388" i="1" s="1"/>
  <c r="BD385" i="1"/>
  <c r="AZ385" i="1"/>
  <c r="BD384" i="1"/>
  <c r="AZ384" i="1"/>
  <c r="BD367" i="1"/>
  <c r="AZ367" i="1"/>
  <c r="AZ366" i="1"/>
  <c r="BD365" i="1"/>
  <c r="AZ365" i="1"/>
  <c r="BD364" i="1"/>
  <c r="AZ364" i="1"/>
  <c r="BD363" i="1"/>
  <c r="AZ363" i="1"/>
  <c r="BD362" i="1"/>
  <c r="AZ362" i="1"/>
  <c r="AF351" i="1"/>
  <c r="AF350" i="1"/>
  <c r="AY347" i="1"/>
  <c r="AY350" i="1" s="1"/>
  <c r="AY351" i="1" s="1"/>
  <c r="AX347" i="1"/>
  <c r="AX350" i="1" s="1"/>
  <c r="AX351" i="1" s="1"/>
  <c r="AW347" i="1"/>
  <c r="AW350" i="1" s="1"/>
  <c r="AW351" i="1" s="1"/>
  <c r="AV347" i="1"/>
  <c r="AV350" i="1" s="1"/>
  <c r="AV351" i="1" s="1"/>
  <c r="AU347" i="1"/>
  <c r="AU350" i="1" s="1"/>
  <c r="AU351" i="1" s="1"/>
  <c r="AT347" i="1"/>
  <c r="AT350" i="1" s="1"/>
  <c r="AT351" i="1" s="1"/>
  <c r="AS347" i="1"/>
  <c r="AS350" i="1" s="1"/>
  <c r="AS351" i="1" s="1"/>
  <c r="AR347" i="1"/>
  <c r="AR350" i="1" s="1"/>
  <c r="AR351" i="1" s="1"/>
  <c r="AQ347" i="1"/>
  <c r="AQ350" i="1" s="1"/>
  <c r="AQ351" i="1" s="1"/>
  <c r="AP347" i="1"/>
  <c r="AP350" i="1" s="1"/>
  <c r="AP351" i="1" s="1"/>
  <c r="AO347" i="1"/>
  <c r="AO350" i="1" s="1"/>
  <c r="AO351" i="1" s="1"/>
  <c r="AN347" i="1"/>
  <c r="AN350" i="1" s="1"/>
  <c r="AN351" i="1" s="1"/>
  <c r="AM347" i="1"/>
  <c r="AM350" i="1" s="1"/>
  <c r="AM351" i="1" s="1"/>
  <c r="AL347" i="1"/>
  <c r="AK347" i="1"/>
  <c r="AF347" i="1"/>
  <c r="AF349" i="1" s="1"/>
  <c r="BD346" i="1"/>
  <c r="AZ346" i="1"/>
  <c r="BD345" i="1"/>
  <c r="AZ345" i="1"/>
  <c r="AZ328" i="1"/>
  <c r="BD327" i="1"/>
  <c r="AZ327" i="1"/>
  <c r="BD326" i="1"/>
  <c r="AZ326" i="1"/>
  <c r="BD325" i="1"/>
  <c r="AZ325" i="1"/>
  <c r="BD324" i="1"/>
  <c r="AZ324" i="1"/>
  <c r="BD323" i="1"/>
  <c r="AZ323" i="1"/>
  <c r="AF312" i="1"/>
  <c r="AF311" i="1"/>
  <c r="AY311" i="1"/>
  <c r="AY312" i="1" s="1"/>
  <c r="AX311" i="1"/>
  <c r="AX312" i="1" s="1"/>
  <c r="AW311" i="1"/>
  <c r="AW312" i="1" s="1"/>
  <c r="AV311" i="1"/>
  <c r="AV312" i="1" s="1"/>
  <c r="AU311" i="1"/>
  <c r="AU312" i="1" s="1"/>
  <c r="AT311" i="1"/>
  <c r="AT312" i="1" s="1"/>
  <c r="AS311" i="1"/>
  <c r="AS312" i="1" s="1"/>
  <c r="AR311" i="1"/>
  <c r="AR312" i="1" s="1"/>
  <c r="AQ311" i="1"/>
  <c r="AQ312" i="1" s="1"/>
  <c r="AP311" i="1"/>
  <c r="AP312" i="1" s="1"/>
  <c r="AO311" i="1"/>
  <c r="AO312" i="1" s="1"/>
  <c r="AN311" i="1"/>
  <c r="AN312" i="1" s="1"/>
  <c r="AM311" i="1"/>
  <c r="AM312" i="1" s="1"/>
  <c r="AL308" i="1"/>
  <c r="AK308" i="1"/>
  <c r="AF308" i="1"/>
  <c r="BD307" i="1"/>
  <c r="AZ307" i="1"/>
  <c r="BD306" i="1"/>
  <c r="AZ306" i="1"/>
  <c r="AZ289" i="1"/>
  <c r="BD288" i="1"/>
  <c r="AZ288" i="1"/>
  <c r="BD287" i="1"/>
  <c r="AZ287" i="1"/>
  <c r="BD286" i="1"/>
  <c r="AZ286" i="1"/>
  <c r="BD285" i="1"/>
  <c r="AZ285" i="1"/>
  <c r="BD284" i="1"/>
  <c r="AZ284" i="1"/>
  <c r="AF273" i="1"/>
  <c r="AF272" i="1"/>
  <c r="AY269" i="1"/>
  <c r="AY272" i="1" s="1"/>
  <c r="AY273" i="1" s="1"/>
  <c r="AX269" i="1"/>
  <c r="AX272" i="1" s="1"/>
  <c r="AX273" i="1" s="1"/>
  <c r="AW269" i="1"/>
  <c r="AW272" i="1" s="1"/>
  <c r="AW273" i="1" s="1"/>
  <c r="AV269" i="1"/>
  <c r="AV272" i="1" s="1"/>
  <c r="AV273" i="1" s="1"/>
  <c r="AU269" i="1"/>
  <c r="AU272" i="1" s="1"/>
  <c r="AU273" i="1" s="1"/>
  <c r="AT269" i="1"/>
  <c r="AT272" i="1" s="1"/>
  <c r="AT273" i="1" s="1"/>
  <c r="AS269" i="1"/>
  <c r="AS272" i="1" s="1"/>
  <c r="AS273" i="1" s="1"/>
  <c r="AR269" i="1"/>
  <c r="AR272" i="1" s="1"/>
  <c r="AR273" i="1" s="1"/>
  <c r="AQ269" i="1"/>
  <c r="AQ272" i="1" s="1"/>
  <c r="AQ273" i="1" s="1"/>
  <c r="AP269" i="1"/>
  <c r="AP272" i="1" s="1"/>
  <c r="AP273" i="1" s="1"/>
  <c r="AO269" i="1"/>
  <c r="AO272" i="1" s="1"/>
  <c r="AO273" i="1" s="1"/>
  <c r="AN269" i="1"/>
  <c r="AN272" i="1" s="1"/>
  <c r="AN273" i="1" s="1"/>
  <c r="AM269" i="1"/>
  <c r="AM272" i="1" s="1"/>
  <c r="AM273" i="1" s="1"/>
  <c r="AL269" i="1"/>
  <c r="AK269" i="1"/>
  <c r="AF269" i="1"/>
  <c r="AF271" i="1" s="1"/>
  <c r="AZ268" i="1"/>
  <c r="BF267" i="1"/>
  <c r="AZ267" i="1"/>
  <c r="AZ250" i="1"/>
  <c r="AZ249" i="1"/>
  <c r="BF248" i="1"/>
  <c r="AZ248" i="1"/>
  <c r="BF247" i="1"/>
  <c r="AZ247" i="1"/>
  <c r="AZ246" i="1"/>
  <c r="BF245" i="1"/>
  <c r="AZ245" i="1"/>
  <c r="AF234" i="1"/>
  <c r="AF233" i="1"/>
  <c r="AY233" i="1"/>
  <c r="AY234" i="1" s="1"/>
  <c r="AX230" i="1"/>
  <c r="AX233" i="1" s="1"/>
  <c r="AX234" i="1" s="1"/>
  <c r="AW230" i="1"/>
  <c r="AW233" i="1" s="1"/>
  <c r="AW234" i="1" s="1"/>
  <c r="AV230" i="1"/>
  <c r="AV233" i="1" s="1"/>
  <c r="AV234" i="1" s="1"/>
  <c r="AU230" i="1"/>
  <c r="AU233" i="1" s="1"/>
  <c r="AU234" i="1" s="1"/>
  <c r="AT230" i="1"/>
  <c r="AT233" i="1" s="1"/>
  <c r="AT234" i="1" s="1"/>
  <c r="AS230" i="1"/>
  <c r="AS233" i="1" s="1"/>
  <c r="AS234" i="1" s="1"/>
  <c r="AR230" i="1"/>
  <c r="AR233" i="1" s="1"/>
  <c r="AQ230" i="1"/>
  <c r="AQ233" i="1" s="1"/>
  <c r="AQ234" i="1" s="1"/>
  <c r="AP230" i="1"/>
  <c r="AP233" i="1" s="1"/>
  <c r="AP234" i="1" s="1"/>
  <c r="AO230" i="1"/>
  <c r="AO233" i="1" s="1"/>
  <c r="AO234" i="1" s="1"/>
  <c r="AN230" i="1"/>
  <c r="AN233" i="1" s="1"/>
  <c r="AN234" i="1" s="1"/>
  <c r="AM230" i="1"/>
  <c r="AM233" i="1" s="1"/>
  <c r="AM234" i="1" s="1"/>
  <c r="AL230" i="1"/>
  <c r="AK230" i="1"/>
  <c r="AF230" i="1"/>
  <c r="AZ229" i="1"/>
  <c r="AZ228" i="1"/>
  <c r="AZ211" i="1"/>
  <c r="AZ210" i="1"/>
  <c r="AZ209" i="1"/>
  <c r="AZ208" i="1"/>
  <c r="AZ207" i="1"/>
  <c r="AZ206" i="1"/>
  <c r="AF193" i="1"/>
  <c r="AF192" i="1"/>
  <c r="AY189" i="1"/>
  <c r="AY192" i="1" s="1"/>
  <c r="AY193" i="1" s="1"/>
  <c r="AX189" i="1"/>
  <c r="AX192" i="1" s="1"/>
  <c r="AX193" i="1" s="1"/>
  <c r="AW189" i="1"/>
  <c r="AW192" i="1" s="1"/>
  <c r="AW193" i="1" s="1"/>
  <c r="AV189" i="1"/>
  <c r="AV192" i="1" s="1"/>
  <c r="AV193" i="1" s="1"/>
  <c r="AU189" i="1"/>
  <c r="AU192" i="1" s="1"/>
  <c r="AU193" i="1" s="1"/>
  <c r="AT189" i="1"/>
  <c r="AT192" i="1" s="1"/>
  <c r="AT193" i="1" s="1"/>
  <c r="AS189" i="1"/>
  <c r="AS192" i="1" s="1"/>
  <c r="AS193" i="1" s="1"/>
  <c r="AR189" i="1"/>
  <c r="AR192" i="1" s="1"/>
  <c r="AQ189" i="1"/>
  <c r="AQ192" i="1" s="1"/>
  <c r="AQ193" i="1" s="1"/>
  <c r="AP189" i="1"/>
  <c r="AP192" i="1" s="1"/>
  <c r="AP193" i="1" s="1"/>
  <c r="AO189" i="1"/>
  <c r="AO192" i="1" s="1"/>
  <c r="AO193" i="1" s="1"/>
  <c r="AN189" i="1"/>
  <c r="AN192" i="1" s="1"/>
  <c r="AN193" i="1" s="1"/>
  <c r="AM189" i="1"/>
  <c r="AM192" i="1" s="1"/>
  <c r="AM193" i="1" s="1"/>
  <c r="AL189" i="1"/>
  <c r="AK189" i="1"/>
  <c r="AF189" i="1"/>
  <c r="BF188" i="1"/>
  <c r="AZ188" i="1"/>
  <c r="AZ187" i="1"/>
  <c r="AZ170" i="1"/>
  <c r="AZ169" i="1"/>
  <c r="AZ168" i="1"/>
  <c r="BF167" i="1"/>
  <c r="AZ167" i="1"/>
  <c r="AZ166" i="1"/>
  <c r="AZ165" i="1"/>
  <c r="AF149" i="1"/>
  <c r="AF109" i="1"/>
  <c r="AF153" i="1"/>
  <c r="AF152" i="1"/>
  <c r="AY149" i="1"/>
  <c r="AY152" i="1" s="1"/>
  <c r="AY153" i="1" s="1"/>
  <c r="AX149" i="1"/>
  <c r="AX152" i="1" s="1"/>
  <c r="AX153" i="1" s="1"/>
  <c r="AW149" i="1"/>
  <c r="AW152" i="1" s="1"/>
  <c r="AW153" i="1" s="1"/>
  <c r="AV149" i="1"/>
  <c r="AV152" i="1" s="1"/>
  <c r="AV153" i="1" s="1"/>
  <c r="AU149" i="1"/>
  <c r="AU152" i="1" s="1"/>
  <c r="AT149" i="1"/>
  <c r="AT152" i="1" s="1"/>
  <c r="AT153" i="1" s="1"/>
  <c r="AS149" i="1"/>
  <c r="AS152" i="1" s="1"/>
  <c r="AS153" i="1" s="1"/>
  <c r="AR149" i="1"/>
  <c r="AR152" i="1" s="1"/>
  <c r="AQ149" i="1"/>
  <c r="AQ152" i="1" s="1"/>
  <c r="AQ153" i="1" s="1"/>
  <c r="AP149" i="1"/>
  <c r="AP152" i="1" s="1"/>
  <c r="AP153" i="1" s="1"/>
  <c r="AO149" i="1"/>
  <c r="AO152" i="1" s="1"/>
  <c r="AO153" i="1" s="1"/>
  <c r="AN149" i="1"/>
  <c r="AN152" i="1" s="1"/>
  <c r="AN153" i="1" s="1"/>
  <c r="AM149" i="1"/>
  <c r="AM152" i="1" s="1"/>
  <c r="AM153" i="1" s="1"/>
  <c r="AL149" i="1"/>
  <c r="AK149" i="1"/>
  <c r="AZ148" i="1"/>
  <c r="BF147" i="1"/>
  <c r="AZ147" i="1"/>
  <c r="BF130" i="1"/>
  <c r="AZ130" i="1"/>
  <c r="BF129" i="1"/>
  <c r="AZ129" i="1"/>
  <c r="BF128" i="1"/>
  <c r="AZ128" i="1"/>
  <c r="AZ127" i="1"/>
  <c r="AZ126" i="1"/>
  <c r="AZ125" i="1"/>
  <c r="AF309" i="1" l="1"/>
  <c r="AF310" i="1"/>
  <c r="AF231" i="1"/>
  <c r="AF232" i="1"/>
  <c r="AF190" i="1"/>
  <c r="AF191" i="1"/>
  <c r="AF150" i="1"/>
  <c r="AF151" i="1"/>
  <c r="AF110" i="1"/>
  <c r="AF111" i="1"/>
  <c r="AF348" i="1"/>
  <c r="AF467" i="1"/>
  <c r="AU153" i="1"/>
  <c r="AR234" i="1"/>
  <c r="AR193" i="1"/>
  <c r="AR153" i="1"/>
  <c r="BF403" i="1"/>
  <c r="BF165" i="1"/>
  <c r="BF148" i="1"/>
  <c r="BF250" i="1"/>
  <c r="BF127" i="1"/>
  <c r="BF402" i="1"/>
  <c r="BE466" i="1"/>
  <c r="BF442" i="1"/>
  <c r="BF443" i="1"/>
  <c r="BF444" i="1"/>
  <c r="BF445" i="1"/>
  <c r="BF446" i="1"/>
  <c r="BF447" i="1"/>
  <c r="BF464" i="1"/>
  <c r="BF465" i="1"/>
  <c r="AF426" i="1"/>
  <c r="BE425" i="1"/>
  <c r="BF423" i="1"/>
  <c r="BE386" i="1"/>
  <c r="AF387" i="1"/>
  <c r="BF362" i="1"/>
  <c r="BF363" i="1"/>
  <c r="BF364" i="1"/>
  <c r="BF365" i="1"/>
  <c r="BF366" i="1"/>
  <c r="BF367" i="1"/>
  <c r="BF384" i="1"/>
  <c r="BF385" i="1"/>
  <c r="BE347" i="1"/>
  <c r="BF323" i="1"/>
  <c r="BF324" i="1"/>
  <c r="BF325" i="1"/>
  <c r="BF326" i="1"/>
  <c r="BF327" i="1"/>
  <c r="BF328" i="1"/>
  <c r="BF345" i="1"/>
  <c r="BF346" i="1"/>
  <c r="BE308" i="1"/>
  <c r="BF284" i="1"/>
  <c r="BF285" i="1"/>
  <c r="BF286" i="1"/>
  <c r="BF287" i="1"/>
  <c r="BF288" i="1"/>
  <c r="BF289" i="1"/>
  <c r="BF306" i="1"/>
  <c r="BF307" i="1"/>
  <c r="BF169" i="1"/>
  <c r="BF246" i="1"/>
  <c r="BF268" i="1"/>
  <c r="BE269" i="1"/>
  <c r="BF249" i="1"/>
  <c r="AF270" i="1"/>
  <c r="BE230" i="1"/>
  <c r="BF206" i="1"/>
  <c r="BF207" i="1"/>
  <c r="BF208" i="1"/>
  <c r="BF209" i="1"/>
  <c r="BF210" i="1"/>
  <c r="BF211" i="1"/>
  <c r="BF228" i="1"/>
  <c r="BF229" i="1"/>
  <c r="BE189" i="1"/>
  <c r="BF166" i="1"/>
  <c r="BF168" i="1"/>
  <c r="BF170" i="1"/>
  <c r="BF187" i="1"/>
  <c r="BE149" i="1"/>
  <c r="BF126" i="1"/>
  <c r="BF125" i="1"/>
  <c r="AK109" i="1"/>
  <c r="AL109" i="1"/>
  <c r="AK69" i="1"/>
  <c r="AL69" i="1"/>
  <c r="AF113" i="1"/>
  <c r="AF112" i="1"/>
  <c r="AY109" i="1"/>
  <c r="AY112" i="1" s="1"/>
  <c r="AY113" i="1" s="1"/>
  <c r="AX109" i="1"/>
  <c r="AX112" i="1" s="1"/>
  <c r="AX113" i="1" s="1"/>
  <c r="AW109" i="1"/>
  <c r="AW112" i="1" s="1"/>
  <c r="AW113" i="1" s="1"/>
  <c r="AV109" i="1"/>
  <c r="AV112" i="1" s="1"/>
  <c r="AV113" i="1" s="1"/>
  <c r="AU109" i="1"/>
  <c r="AU112" i="1" s="1"/>
  <c r="AU113" i="1" s="1"/>
  <c r="AT109" i="1"/>
  <c r="AT112" i="1" s="1"/>
  <c r="AT113" i="1" s="1"/>
  <c r="AS109" i="1"/>
  <c r="AS112" i="1" s="1"/>
  <c r="AS113" i="1" s="1"/>
  <c r="AR109" i="1"/>
  <c r="AR112" i="1" s="1"/>
  <c r="AQ109" i="1"/>
  <c r="AQ112" i="1" s="1"/>
  <c r="AQ113" i="1" s="1"/>
  <c r="AP109" i="1"/>
  <c r="AP112" i="1" s="1"/>
  <c r="AP113" i="1" s="1"/>
  <c r="AO109" i="1"/>
  <c r="AO112" i="1" s="1"/>
  <c r="AO113" i="1" s="1"/>
  <c r="AN109" i="1"/>
  <c r="AN112" i="1" s="1"/>
  <c r="AN113" i="1" s="1"/>
  <c r="AM109" i="1"/>
  <c r="AM112" i="1" s="1"/>
  <c r="AM113" i="1" s="1"/>
  <c r="BD108" i="1"/>
  <c r="AZ108" i="1"/>
  <c r="BD107" i="1"/>
  <c r="AZ107" i="1"/>
  <c r="BD90" i="1"/>
  <c r="AZ90" i="1"/>
  <c r="AZ89" i="1"/>
  <c r="BD88" i="1"/>
  <c r="BF88" i="1" s="1"/>
  <c r="AZ88" i="1"/>
  <c r="BD87" i="1"/>
  <c r="BF87" i="1" s="1"/>
  <c r="AZ87" i="1"/>
  <c r="BD86" i="1"/>
  <c r="AZ86" i="1"/>
  <c r="BD85" i="1"/>
  <c r="AZ85" i="1"/>
  <c r="AF73" i="1"/>
  <c r="AF72" i="1"/>
  <c r="AY72" i="1"/>
  <c r="AX69" i="1"/>
  <c r="AX72" i="1" s="1"/>
  <c r="AX73" i="1" s="1"/>
  <c r="AW69" i="1"/>
  <c r="AW72" i="1" s="1"/>
  <c r="AW73" i="1" s="1"/>
  <c r="AV69" i="1"/>
  <c r="AV72" i="1" s="1"/>
  <c r="AV73" i="1" s="1"/>
  <c r="AU69" i="1"/>
  <c r="AU72" i="1" s="1"/>
  <c r="AU73" i="1" s="1"/>
  <c r="AT69" i="1"/>
  <c r="AT72" i="1" s="1"/>
  <c r="AT73" i="1" s="1"/>
  <c r="AS69" i="1"/>
  <c r="AS72" i="1" s="1"/>
  <c r="AS73" i="1" s="1"/>
  <c r="AR69" i="1"/>
  <c r="AR72" i="1" s="1"/>
  <c r="AQ69" i="1"/>
  <c r="AQ72" i="1" s="1"/>
  <c r="AQ73" i="1" s="1"/>
  <c r="AP69" i="1"/>
  <c r="AP72" i="1" s="1"/>
  <c r="AP73" i="1" s="1"/>
  <c r="AO69" i="1"/>
  <c r="AO72" i="1" s="1"/>
  <c r="AN69" i="1"/>
  <c r="AN72" i="1" s="1"/>
  <c r="AM69" i="1"/>
  <c r="AM72" i="1" s="1"/>
  <c r="AM73" i="1" s="1"/>
  <c r="AF69" i="1"/>
  <c r="AF71" i="1" s="1"/>
  <c r="BD68" i="1"/>
  <c r="AZ68" i="1"/>
  <c r="BD67" i="1"/>
  <c r="AZ67" i="1"/>
  <c r="BD50" i="1"/>
  <c r="AZ50" i="1"/>
  <c r="BD49" i="1"/>
  <c r="AZ49" i="1"/>
  <c r="AZ48" i="1"/>
  <c r="BD47" i="1"/>
  <c r="AZ47" i="1"/>
  <c r="BD46" i="1"/>
  <c r="AZ46" i="1"/>
  <c r="BD45" i="1"/>
  <c r="AZ45" i="1"/>
  <c r="AR113" i="1" l="1"/>
  <c r="AR73" i="1"/>
  <c r="AY73" i="1"/>
  <c r="BE69" i="1"/>
  <c r="AF70" i="1"/>
  <c r="BF107" i="1"/>
  <c r="BF89" i="1"/>
  <c r="BF86" i="1"/>
  <c r="BF90" i="1"/>
  <c r="BF108" i="1"/>
  <c r="BF85" i="1"/>
  <c r="AO73" i="1"/>
  <c r="AN73" i="1"/>
  <c r="BF45" i="1"/>
  <c r="BF46" i="1"/>
  <c r="BF47" i="1"/>
  <c r="BF48" i="1"/>
  <c r="BF49" i="1"/>
  <c r="BF50" i="1"/>
  <c r="BF67" i="1"/>
  <c r="BF68" i="1"/>
  <c r="AF33" i="1" l="1"/>
  <c r="AF32" i="1"/>
  <c r="AL29" i="1"/>
  <c r="AK29" i="1"/>
  <c r="AF29" i="1"/>
  <c r="BD28" i="1"/>
  <c r="BF28" i="1" s="1"/>
  <c r="AZ28" i="1"/>
  <c r="BD27" i="1"/>
  <c r="BF27" i="1" s="1"/>
  <c r="AZ27" i="1"/>
  <c r="BD10" i="1"/>
  <c r="BF10" i="1" s="1"/>
  <c r="AZ10" i="1"/>
  <c r="AZ9" i="1"/>
  <c r="BD8" i="1"/>
  <c r="BF8" i="1" s="1"/>
  <c r="AZ8" i="1"/>
  <c r="BD7" i="1"/>
  <c r="BF7" i="1" s="1"/>
  <c r="AZ7" i="1"/>
  <c r="BD6" i="1"/>
  <c r="BF6" i="1" s="1"/>
  <c r="AZ6" i="1"/>
  <c r="BD5" i="1"/>
  <c r="BF5" i="1" s="1"/>
  <c r="AZ5" i="1"/>
  <c r="AF30" i="1" l="1"/>
  <c r="AF31" i="1"/>
  <c r="C32" i="6"/>
  <c r="Z465" i="1" l="1"/>
  <c r="Z464" i="1"/>
  <c r="Z447" i="1"/>
  <c r="Z445" i="1"/>
  <c r="Z444" i="1"/>
  <c r="Z443" i="1"/>
  <c r="Z442" i="1"/>
  <c r="I466" i="1"/>
  <c r="I469" i="1" s="1"/>
  <c r="Z424" i="1"/>
  <c r="Z423" i="1"/>
  <c r="Z406" i="1"/>
  <c r="Z404" i="1"/>
  <c r="Z403" i="1"/>
  <c r="Z402" i="1"/>
  <c r="Z401" i="1"/>
  <c r="I425" i="1"/>
  <c r="I428" i="1" s="1"/>
  <c r="Z385" i="1"/>
  <c r="Z384" i="1"/>
  <c r="Z367" i="1"/>
  <c r="Z366" i="1"/>
  <c r="Z365" i="1"/>
  <c r="Z363" i="1"/>
  <c r="Z362" i="1"/>
  <c r="Z323" i="1"/>
  <c r="Z285" i="1"/>
  <c r="Z108" i="1"/>
  <c r="Z107" i="1"/>
  <c r="Z90" i="1"/>
  <c r="Z89" i="1"/>
  <c r="Z87" i="1"/>
  <c r="Z86" i="1"/>
  <c r="Z85" i="1"/>
  <c r="C38" i="6" l="1"/>
  <c r="C36" i="6"/>
  <c r="P466" i="1" l="1"/>
  <c r="P469" i="1" s="1"/>
  <c r="P470" i="1" s="1"/>
  <c r="P425" i="1"/>
  <c r="P428" i="1" s="1"/>
  <c r="P429" i="1" s="1"/>
  <c r="P386" i="1"/>
  <c r="P389" i="1" s="1"/>
  <c r="P390" i="1" s="1"/>
  <c r="P347" i="1"/>
  <c r="P350" i="1" s="1"/>
  <c r="P351" i="1" s="1"/>
  <c r="P308" i="1"/>
  <c r="P311" i="1" s="1"/>
  <c r="P312" i="1" s="1"/>
  <c r="P269" i="1"/>
  <c r="P272" i="1" s="1"/>
  <c r="P273" i="1" s="1"/>
  <c r="P230" i="1"/>
  <c r="P233" i="1" s="1"/>
  <c r="P234" i="1" s="1"/>
  <c r="P189" i="1"/>
  <c r="P192" i="1" s="1"/>
  <c r="P193" i="1" s="1"/>
  <c r="P149" i="1"/>
  <c r="P152" i="1" s="1"/>
  <c r="P153" i="1" s="1"/>
  <c r="P109" i="1"/>
  <c r="P112" i="1" s="1"/>
  <c r="P113" i="1" s="1"/>
  <c r="P69" i="1"/>
  <c r="P72" i="1" s="1"/>
  <c r="P73" i="1" s="1"/>
  <c r="P29" i="1"/>
  <c r="P32" i="1" s="1"/>
  <c r="P33" i="1" s="1"/>
  <c r="Z45" i="1"/>
  <c r="Z5" i="1"/>
  <c r="V465" i="1" l="1"/>
  <c r="V464" i="1"/>
  <c r="V447" i="1"/>
  <c r="V446" i="1"/>
  <c r="V445" i="1"/>
  <c r="V444" i="1"/>
  <c r="V443" i="1"/>
  <c r="V442" i="1"/>
  <c r="V424" i="1"/>
  <c r="V423" i="1"/>
  <c r="V406" i="1"/>
  <c r="V405" i="1"/>
  <c r="V404" i="1"/>
  <c r="V403" i="1"/>
  <c r="V402" i="1"/>
  <c r="V401" i="1"/>
  <c r="V385" i="1"/>
  <c r="V384" i="1"/>
  <c r="V367" i="1"/>
  <c r="V366" i="1"/>
  <c r="V365" i="1"/>
  <c r="V364" i="1"/>
  <c r="V363" i="1"/>
  <c r="V362" i="1"/>
  <c r="V346" i="1"/>
  <c r="V345" i="1"/>
  <c r="V328" i="1"/>
  <c r="V327" i="1"/>
  <c r="V326" i="1"/>
  <c r="V325" i="1"/>
  <c r="V324" i="1"/>
  <c r="V323" i="1"/>
  <c r="V307" i="1"/>
  <c r="V306" i="1"/>
  <c r="V289" i="1"/>
  <c r="V288" i="1"/>
  <c r="V287" i="1"/>
  <c r="V286" i="1"/>
  <c r="V285" i="1"/>
  <c r="V284" i="1"/>
  <c r="V268" i="1"/>
  <c r="V267" i="1"/>
  <c r="V250" i="1"/>
  <c r="V249" i="1"/>
  <c r="V248" i="1"/>
  <c r="V247" i="1"/>
  <c r="V246" i="1"/>
  <c r="V245" i="1"/>
  <c r="V229" i="1"/>
  <c r="V228" i="1"/>
  <c r="V211" i="1"/>
  <c r="V210" i="1"/>
  <c r="V209" i="1"/>
  <c r="V208" i="1"/>
  <c r="V207" i="1"/>
  <c r="V206" i="1"/>
  <c r="V188" i="1"/>
  <c r="V187" i="1"/>
  <c r="V170" i="1"/>
  <c r="V169" i="1"/>
  <c r="V168" i="1"/>
  <c r="V167" i="1"/>
  <c r="V166" i="1"/>
  <c r="V165" i="1"/>
  <c r="V148" i="1"/>
  <c r="V147" i="1"/>
  <c r="V130" i="1"/>
  <c r="V129" i="1"/>
  <c r="V128" i="1"/>
  <c r="V127" i="1"/>
  <c r="V126" i="1"/>
  <c r="V125" i="1"/>
  <c r="V108" i="1"/>
  <c r="V107" i="1"/>
  <c r="V90" i="1"/>
  <c r="V89" i="1"/>
  <c r="V88" i="1"/>
  <c r="V87" i="1"/>
  <c r="V86" i="1"/>
  <c r="V85" i="1"/>
  <c r="V68" i="1"/>
  <c r="V67" i="1"/>
  <c r="V50" i="1"/>
  <c r="V49" i="1"/>
  <c r="V48" i="1"/>
  <c r="V47" i="1"/>
  <c r="V46" i="1"/>
  <c r="V45" i="1"/>
  <c r="N189" i="1"/>
  <c r="N192" i="1" s="1"/>
  <c r="N193" i="1" s="1"/>
  <c r="D485" i="1" l="1"/>
  <c r="G31" i="1" s="1"/>
  <c r="AL71" i="1" l="1"/>
  <c r="P33" i="7" l="1"/>
  <c r="P32" i="7"/>
  <c r="P31" i="7"/>
  <c r="P30" i="7"/>
  <c r="P29" i="7"/>
  <c r="P28" i="7"/>
  <c r="P27" i="7"/>
  <c r="P26" i="7"/>
  <c r="R21" i="7"/>
  <c r="Q21" i="7"/>
  <c r="P21" i="7"/>
  <c r="O21" i="7"/>
  <c r="N21" i="7"/>
  <c r="M21" i="7"/>
  <c r="L21" i="7"/>
  <c r="K21" i="7"/>
  <c r="J21" i="7"/>
  <c r="I21" i="7"/>
  <c r="H21" i="7"/>
  <c r="G21" i="7"/>
  <c r="F21" i="7"/>
  <c r="E21" i="7"/>
  <c r="D21" i="7"/>
  <c r="D22" i="7" s="1"/>
  <c r="C21" i="7"/>
  <c r="T19" i="7"/>
  <c r="U19" i="7" s="1"/>
  <c r="O43" i="7" s="1"/>
  <c r="B28" i="8"/>
  <c r="T18" i="7"/>
  <c r="U18" i="7" s="1"/>
  <c r="N43" i="7" s="1"/>
  <c r="B27" i="8"/>
  <c r="T17" i="7"/>
  <c r="U17" i="7" s="1"/>
  <c r="M43" i="7" s="1"/>
  <c r="B26" i="8"/>
  <c r="T16" i="7"/>
  <c r="U16" i="7" s="1"/>
  <c r="L43" i="7" s="1"/>
  <c r="B25" i="8"/>
  <c r="T15" i="7"/>
  <c r="U15" i="7" s="1"/>
  <c r="K43" i="7" s="1"/>
  <c r="B24" i="8"/>
  <c r="T14" i="7"/>
  <c r="U14" i="7" s="1"/>
  <c r="J43" i="7" s="1"/>
  <c r="B23" i="8"/>
  <c r="T13" i="7"/>
  <c r="U13" i="7" s="1"/>
  <c r="I43" i="7" s="1"/>
  <c r="B22" i="8"/>
  <c r="T12" i="7"/>
  <c r="U12" i="7" s="1"/>
  <c r="H43" i="7" s="1"/>
  <c r="B21" i="8"/>
  <c r="T11" i="7"/>
  <c r="U11" i="7" s="1"/>
  <c r="G43" i="7" s="1"/>
  <c r="B20" i="8"/>
  <c r="T10" i="7"/>
  <c r="U10" i="7" s="1"/>
  <c r="F43" i="7" s="1"/>
  <c r="B19" i="8"/>
  <c r="T9" i="7"/>
  <c r="U9" i="7" s="1"/>
  <c r="E43" i="7" s="1"/>
  <c r="T8" i="7"/>
  <c r="U8" i="7" s="1"/>
  <c r="D43" i="7" s="1"/>
  <c r="P35" i="7" l="1"/>
  <c r="B18" i="8"/>
  <c r="B17" i="8"/>
  <c r="B29" i="8" s="1"/>
  <c r="Q32" i="7"/>
  <c r="S21" i="7"/>
  <c r="T21" i="7"/>
  <c r="P42" i="7" s="1"/>
  <c r="V28" i="1" l="1"/>
  <c r="V27" i="1"/>
  <c r="V10" i="1"/>
  <c r="V9" i="1"/>
  <c r="V8" i="1"/>
  <c r="V7" i="1"/>
  <c r="V6" i="1"/>
  <c r="V5" i="1"/>
  <c r="T466" i="1"/>
  <c r="T469" i="1" s="1"/>
  <c r="T470" i="1" s="1"/>
  <c r="S466" i="1"/>
  <c r="S469" i="1" s="1"/>
  <c r="S470" i="1" s="1"/>
  <c r="R466" i="1"/>
  <c r="R469" i="1" s="1"/>
  <c r="R470" i="1" s="1"/>
  <c r="Q466" i="1"/>
  <c r="Q469" i="1" s="1"/>
  <c r="Q470" i="1" s="1"/>
  <c r="O466" i="1"/>
  <c r="O469" i="1" s="1"/>
  <c r="T425" i="1"/>
  <c r="T428" i="1" s="1"/>
  <c r="T429" i="1" s="1"/>
  <c r="S425" i="1"/>
  <c r="S428" i="1" s="1"/>
  <c r="S429" i="1" s="1"/>
  <c r="R425" i="1"/>
  <c r="R428" i="1" s="1"/>
  <c r="R429" i="1" s="1"/>
  <c r="Q425" i="1"/>
  <c r="Q428" i="1" s="1"/>
  <c r="Q429" i="1" s="1"/>
  <c r="O425" i="1"/>
  <c r="O428" i="1" s="1"/>
  <c r="T386" i="1"/>
  <c r="T389" i="1" s="1"/>
  <c r="T390" i="1" s="1"/>
  <c r="S386" i="1"/>
  <c r="S389" i="1" s="1"/>
  <c r="S390" i="1" s="1"/>
  <c r="R386" i="1"/>
  <c r="R389" i="1" s="1"/>
  <c r="R390" i="1" s="1"/>
  <c r="Q386" i="1"/>
  <c r="Q389" i="1" s="1"/>
  <c r="Q390" i="1" s="1"/>
  <c r="O386" i="1"/>
  <c r="O389" i="1" s="1"/>
  <c r="T347" i="1"/>
  <c r="T350" i="1" s="1"/>
  <c r="R347" i="1"/>
  <c r="R350" i="1" s="1"/>
  <c r="R351" i="1" s="1"/>
  <c r="Q347" i="1"/>
  <c r="Q350" i="1" s="1"/>
  <c r="Q351" i="1" s="1"/>
  <c r="O347" i="1"/>
  <c r="O350" i="1" s="1"/>
  <c r="O351" i="1" s="1"/>
  <c r="T308" i="1"/>
  <c r="T311" i="1" s="1"/>
  <c r="T312" i="1" s="1"/>
  <c r="S308" i="1"/>
  <c r="S311" i="1" s="1"/>
  <c r="S312" i="1" s="1"/>
  <c r="R308" i="1"/>
  <c r="R311" i="1" s="1"/>
  <c r="R312" i="1" s="1"/>
  <c r="Q308" i="1"/>
  <c r="Q311" i="1" s="1"/>
  <c r="Q312" i="1" s="1"/>
  <c r="O308" i="1"/>
  <c r="O311" i="1" s="1"/>
  <c r="O312" i="1" s="1"/>
  <c r="T269" i="1"/>
  <c r="T272" i="1" s="1"/>
  <c r="T273" i="1" s="1"/>
  <c r="S269" i="1"/>
  <c r="S272" i="1" s="1"/>
  <c r="S273" i="1" s="1"/>
  <c r="R269" i="1"/>
  <c r="R272" i="1" s="1"/>
  <c r="R273" i="1" s="1"/>
  <c r="Q269" i="1"/>
  <c r="Q272" i="1" s="1"/>
  <c r="Q273" i="1" s="1"/>
  <c r="O269" i="1"/>
  <c r="O272" i="1" s="1"/>
  <c r="O273" i="1" s="1"/>
  <c r="T230" i="1"/>
  <c r="T233" i="1" s="1"/>
  <c r="T234" i="1" s="1"/>
  <c r="S230" i="1"/>
  <c r="S233" i="1" s="1"/>
  <c r="R230" i="1"/>
  <c r="R233" i="1" s="1"/>
  <c r="R234" i="1" s="1"/>
  <c r="Q230" i="1"/>
  <c r="Q233" i="1" s="1"/>
  <c r="Q234" i="1" s="1"/>
  <c r="O230" i="1"/>
  <c r="O233" i="1" s="1"/>
  <c r="T189" i="1"/>
  <c r="T192" i="1" s="1"/>
  <c r="T193" i="1" s="1"/>
  <c r="S189" i="1"/>
  <c r="S192" i="1" s="1"/>
  <c r="S193" i="1" s="1"/>
  <c r="R189" i="1"/>
  <c r="R192" i="1" s="1"/>
  <c r="R193" i="1" s="1"/>
  <c r="Q189" i="1"/>
  <c r="Q192" i="1" s="1"/>
  <c r="Q193" i="1" s="1"/>
  <c r="O189" i="1"/>
  <c r="O192" i="1" s="1"/>
  <c r="T149" i="1"/>
  <c r="T152" i="1" s="1"/>
  <c r="T153" i="1" s="1"/>
  <c r="S149" i="1"/>
  <c r="S152" i="1" s="1"/>
  <c r="S153" i="1" s="1"/>
  <c r="R149" i="1"/>
  <c r="R152" i="1" s="1"/>
  <c r="R153" i="1" s="1"/>
  <c r="Q149" i="1"/>
  <c r="Q152" i="1" s="1"/>
  <c r="O149" i="1"/>
  <c r="O152" i="1" s="1"/>
  <c r="T109" i="1"/>
  <c r="T112" i="1" s="1"/>
  <c r="T113" i="1" s="1"/>
  <c r="S109" i="1"/>
  <c r="S112" i="1" s="1"/>
  <c r="S113" i="1" s="1"/>
  <c r="R109" i="1"/>
  <c r="R112" i="1" s="1"/>
  <c r="R113" i="1" s="1"/>
  <c r="Q109" i="1"/>
  <c r="Q112" i="1" s="1"/>
  <c r="Q113" i="1" s="1"/>
  <c r="O109" i="1"/>
  <c r="O112" i="1" s="1"/>
  <c r="T69" i="1"/>
  <c r="T72" i="1" s="1"/>
  <c r="T73" i="1" s="1"/>
  <c r="S69" i="1"/>
  <c r="S72" i="1" s="1"/>
  <c r="S73" i="1" s="1"/>
  <c r="R69" i="1"/>
  <c r="R72" i="1" s="1"/>
  <c r="R73" i="1" s="1"/>
  <c r="Q69" i="1"/>
  <c r="Q72" i="1" s="1"/>
  <c r="Q73" i="1" s="1"/>
  <c r="O69" i="1"/>
  <c r="O72" i="1" s="1"/>
  <c r="T29" i="1"/>
  <c r="T32" i="1" s="1"/>
  <c r="T33" i="1" s="1"/>
  <c r="R29" i="1"/>
  <c r="R32" i="1" s="1"/>
  <c r="R33" i="1" s="1"/>
  <c r="Q29" i="1"/>
  <c r="Q32" i="1" s="1"/>
  <c r="Q33" i="1" s="1"/>
  <c r="O29" i="1"/>
  <c r="O32" i="1" s="1"/>
  <c r="O33" i="1" s="1"/>
  <c r="U466" i="1"/>
  <c r="U469" i="1" s="1"/>
  <c r="N466" i="1"/>
  <c r="N469" i="1" s="1"/>
  <c r="N470" i="1" s="1"/>
  <c r="U425" i="1"/>
  <c r="U428" i="1" s="1"/>
  <c r="N425" i="1"/>
  <c r="N428" i="1" s="1"/>
  <c r="N429" i="1" s="1"/>
  <c r="U386" i="1"/>
  <c r="U389" i="1" s="1"/>
  <c r="N386" i="1"/>
  <c r="N389" i="1" s="1"/>
  <c r="N390" i="1" s="1"/>
  <c r="U347" i="1"/>
  <c r="U350" i="1" s="1"/>
  <c r="U351" i="1" s="1"/>
  <c r="N347" i="1"/>
  <c r="N350" i="1" s="1"/>
  <c r="N351" i="1" s="1"/>
  <c r="L347" i="1"/>
  <c r="L350" i="1" s="1"/>
  <c r="L351" i="1" s="1"/>
  <c r="K347" i="1"/>
  <c r="K350" i="1" s="1"/>
  <c r="K351" i="1" s="1"/>
  <c r="U308" i="1"/>
  <c r="U311" i="1" s="1"/>
  <c r="U312" i="1" s="1"/>
  <c r="N308" i="1"/>
  <c r="N311" i="1" s="1"/>
  <c r="N312" i="1" s="1"/>
  <c r="M308" i="1"/>
  <c r="M311" i="1" s="1"/>
  <c r="L308" i="1"/>
  <c r="L311" i="1" s="1"/>
  <c r="L312" i="1" s="1"/>
  <c r="K308" i="1"/>
  <c r="K311" i="1" s="1"/>
  <c r="K312" i="1" s="1"/>
  <c r="U269" i="1"/>
  <c r="U272" i="1" s="1"/>
  <c r="N269" i="1"/>
  <c r="N272" i="1" s="1"/>
  <c r="N273" i="1" s="1"/>
  <c r="M269" i="1"/>
  <c r="M272" i="1" s="1"/>
  <c r="L269" i="1"/>
  <c r="L272" i="1" s="1"/>
  <c r="K269" i="1"/>
  <c r="K272" i="1" s="1"/>
  <c r="K273" i="1" s="1"/>
  <c r="N230" i="1"/>
  <c r="N233" i="1" s="1"/>
  <c r="N234" i="1" s="1"/>
  <c r="M230" i="1"/>
  <c r="M233" i="1" s="1"/>
  <c r="M234" i="1" s="1"/>
  <c r="L230" i="1"/>
  <c r="L233" i="1" s="1"/>
  <c r="L234" i="1" s="1"/>
  <c r="K230" i="1"/>
  <c r="U189" i="1"/>
  <c r="U192" i="1" s="1"/>
  <c r="U193" i="1" s="1"/>
  <c r="U149" i="1"/>
  <c r="U152" i="1" s="1"/>
  <c r="U153" i="1" s="1"/>
  <c r="N149" i="1"/>
  <c r="N152" i="1" s="1"/>
  <c r="N153" i="1" s="1"/>
  <c r="N69" i="1"/>
  <c r="N72" i="1" s="1"/>
  <c r="N73" i="1" s="1"/>
  <c r="U29" i="1"/>
  <c r="U32" i="1" s="1"/>
  <c r="U33" i="1" s="1"/>
  <c r="N29" i="1"/>
  <c r="N32" i="1" s="1"/>
  <c r="N33" i="1" s="1"/>
  <c r="M29" i="1"/>
  <c r="M32" i="1" s="1"/>
  <c r="M33" i="1" s="1"/>
  <c r="M278" i="1" l="1"/>
  <c r="M273" i="1"/>
  <c r="O73" i="1"/>
  <c r="M78" i="1"/>
  <c r="M395" i="1"/>
  <c r="O390" i="1"/>
  <c r="M356" i="1"/>
  <c r="M475" i="1"/>
  <c r="B9" i="8" s="1"/>
  <c r="O470" i="1"/>
  <c r="M38" i="1"/>
  <c r="M317" i="1"/>
  <c r="M434" i="1"/>
  <c r="O429" i="1"/>
  <c r="Q153" i="1"/>
  <c r="M158" i="1"/>
  <c r="M118" i="1"/>
  <c r="O113" i="1"/>
  <c r="M239" i="1"/>
  <c r="O234" i="1"/>
  <c r="M198" i="1"/>
  <c r="O193" i="1"/>
  <c r="O153" i="1"/>
  <c r="T351" i="1"/>
  <c r="M312" i="1"/>
  <c r="U273" i="1"/>
  <c r="L273" i="1"/>
  <c r="U470" i="1"/>
  <c r="U429" i="1"/>
  <c r="U390" i="1"/>
  <c r="K233" i="1"/>
  <c r="M38" i="6"/>
  <c r="L38" i="6"/>
  <c r="K38" i="6"/>
  <c r="J38" i="6"/>
  <c r="I38" i="6"/>
  <c r="H38" i="6"/>
  <c r="G38" i="6"/>
  <c r="F38" i="6"/>
  <c r="E38" i="6"/>
  <c r="D38" i="6"/>
  <c r="B38" i="6"/>
  <c r="N38" i="1" l="1"/>
  <c r="N38" i="6"/>
  <c r="K234" i="1"/>
  <c r="D496" i="1" l="1"/>
  <c r="G468" i="1" s="1"/>
  <c r="D495" i="1"/>
  <c r="G427" i="1" s="1"/>
  <c r="D494" i="1"/>
  <c r="G388" i="1" s="1"/>
  <c r="G349" i="1"/>
  <c r="G310" i="1"/>
  <c r="G271" i="1"/>
  <c r="G232" i="1"/>
  <c r="D489" i="1"/>
  <c r="G191" i="1" s="1"/>
  <c r="D488" i="1"/>
  <c r="G151" i="1" s="1"/>
  <c r="D487" i="1"/>
  <c r="G111" i="1" s="1"/>
  <c r="D486" i="1"/>
  <c r="G71" i="1" s="1"/>
  <c r="AK71" i="1" l="1"/>
  <c r="M72" i="6"/>
  <c r="M101" i="6" s="1"/>
  <c r="M130" i="6" s="1"/>
  <c r="L72" i="6"/>
  <c r="L101" i="6" s="1"/>
  <c r="L130" i="6" s="1"/>
  <c r="K72" i="6"/>
  <c r="K101" i="6" s="1"/>
  <c r="K130" i="6" s="1"/>
  <c r="J72" i="6"/>
  <c r="J101" i="6" s="1"/>
  <c r="J130" i="6" s="1"/>
  <c r="I72" i="6"/>
  <c r="I101" i="6" s="1"/>
  <c r="I130" i="6" s="1"/>
  <c r="H72" i="6"/>
  <c r="H101" i="6" s="1"/>
  <c r="H130" i="6" s="1"/>
  <c r="G72" i="6"/>
  <c r="G101" i="6" s="1"/>
  <c r="G130" i="6" s="1"/>
  <c r="F72" i="6"/>
  <c r="F101" i="6" s="1"/>
  <c r="F130" i="6" s="1"/>
  <c r="E72" i="6"/>
  <c r="E101" i="6" s="1"/>
  <c r="E130" i="6" s="1"/>
  <c r="D72" i="6"/>
  <c r="D101" i="6" s="1"/>
  <c r="D130" i="6" s="1"/>
  <c r="C72" i="6"/>
  <c r="C101" i="6" s="1"/>
  <c r="C130" i="6" s="1"/>
  <c r="B72" i="6"/>
  <c r="B101" i="6" s="1"/>
  <c r="B130" i="6" s="1"/>
  <c r="M71" i="6"/>
  <c r="L71" i="6"/>
  <c r="K71" i="6"/>
  <c r="J71" i="6"/>
  <c r="I71" i="6"/>
  <c r="H71" i="6"/>
  <c r="G71" i="6"/>
  <c r="F71" i="6"/>
  <c r="E71" i="6"/>
  <c r="D71" i="6"/>
  <c r="C71" i="6"/>
  <c r="B71" i="6"/>
  <c r="M70" i="6"/>
  <c r="M99" i="6" s="1"/>
  <c r="M128" i="6" s="1"/>
  <c r="L70" i="6"/>
  <c r="L99" i="6" s="1"/>
  <c r="L128" i="6" s="1"/>
  <c r="K70" i="6"/>
  <c r="K99" i="6" s="1"/>
  <c r="K128" i="6" s="1"/>
  <c r="J70" i="6"/>
  <c r="J99" i="6" s="1"/>
  <c r="J128" i="6" s="1"/>
  <c r="I70" i="6"/>
  <c r="I99" i="6" s="1"/>
  <c r="I128" i="6" s="1"/>
  <c r="H70" i="6"/>
  <c r="H99" i="6" s="1"/>
  <c r="H128" i="6" s="1"/>
  <c r="G70" i="6"/>
  <c r="G99" i="6" s="1"/>
  <c r="G128" i="6" s="1"/>
  <c r="F70" i="6"/>
  <c r="F99" i="6" s="1"/>
  <c r="F128" i="6" s="1"/>
  <c r="E70" i="6"/>
  <c r="E99" i="6" s="1"/>
  <c r="E128" i="6" s="1"/>
  <c r="D70" i="6"/>
  <c r="D99" i="6" s="1"/>
  <c r="D128" i="6" s="1"/>
  <c r="C70" i="6"/>
  <c r="C99" i="6" s="1"/>
  <c r="C128" i="6" s="1"/>
  <c r="B70" i="6"/>
  <c r="B99" i="6" s="1"/>
  <c r="B128" i="6" s="1"/>
  <c r="M69" i="6"/>
  <c r="M98" i="6" s="1"/>
  <c r="M127" i="6" s="1"/>
  <c r="L69" i="6"/>
  <c r="L98" i="6" s="1"/>
  <c r="L127" i="6" s="1"/>
  <c r="K69" i="6"/>
  <c r="K98" i="6" s="1"/>
  <c r="K127" i="6" s="1"/>
  <c r="J69" i="6"/>
  <c r="J98" i="6" s="1"/>
  <c r="J127" i="6" s="1"/>
  <c r="I69" i="6"/>
  <c r="I98" i="6" s="1"/>
  <c r="I127" i="6" s="1"/>
  <c r="H69" i="6"/>
  <c r="H98" i="6" s="1"/>
  <c r="H127" i="6" s="1"/>
  <c r="G69" i="6"/>
  <c r="G98" i="6" s="1"/>
  <c r="G127" i="6" s="1"/>
  <c r="F69" i="6"/>
  <c r="F98" i="6" s="1"/>
  <c r="F127" i="6" s="1"/>
  <c r="E69" i="6"/>
  <c r="E98" i="6" s="1"/>
  <c r="E127" i="6" s="1"/>
  <c r="D69" i="6"/>
  <c r="D98" i="6" s="1"/>
  <c r="D127" i="6" s="1"/>
  <c r="C69" i="6"/>
  <c r="C98" i="6" s="1"/>
  <c r="C127" i="6" s="1"/>
  <c r="B69" i="6"/>
  <c r="B98" i="6" s="1"/>
  <c r="B127" i="6" s="1"/>
  <c r="M68" i="6"/>
  <c r="M97" i="6" s="1"/>
  <c r="M126" i="6" s="1"/>
  <c r="L68" i="6"/>
  <c r="L97" i="6" s="1"/>
  <c r="L126" i="6" s="1"/>
  <c r="K68" i="6"/>
  <c r="K97" i="6" s="1"/>
  <c r="K126" i="6" s="1"/>
  <c r="J68" i="6"/>
  <c r="J97" i="6" s="1"/>
  <c r="J126" i="6" s="1"/>
  <c r="I68" i="6"/>
  <c r="I97" i="6" s="1"/>
  <c r="I126" i="6" s="1"/>
  <c r="H68" i="6"/>
  <c r="H97" i="6" s="1"/>
  <c r="H126" i="6" s="1"/>
  <c r="G68" i="6"/>
  <c r="G97" i="6" s="1"/>
  <c r="G126" i="6" s="1"/>
  <c r="F68" i="6"/>
  <c r="F97" i="6" s="1"/>
  <c r="F126" i="6" s="1"/>
  <c r="E68" i="6"/>
  <c r="E97" i="6" s="1"/>
  <c r="E126" i="6" s="1"/>
  <c r="D68" i="6"/>
  <c r="D97" i="6" s="1"/>
  <c r="D126" i="6" s="1"/>
  <c r="C68" i="6"/>
  <c r="C97" i="6" s="1"/>
  <c r="C126" i="6" s="1"/>
  <c r="B68" i="6"/>
  <c r="B97" i="6" s="1"/>
  <c r="B126" i="6" s="1"/>
  <c r="M67" i="6"/>
  <c r="M96" i="6" s="1"/>
  <c r="M125" i="6" s="1"/>
  <c r="L67" i="6"/>
  <c r="L96" i="6" s="1"/>
  <c r="L125" i="6" s="1"/>
  <c r="K67" i="6"/>
  <c r="K96" i="6" s="1"/>
  <c r="K125" i="6" s="1"/>
  <c r="J67" i="6"/>
  <c r="J96" i="6" s="1"/>
  <c r="J125" i="6" s="1"/>
  <c r="I67" i="6"/>
  <c r="I96" i="6" s="1"/>
  <c r="I125" i="6" s="1"/>
  <c r="H67" i="6"/>
  <c r="H96" i="6" s="1"/>
  <c r="H125" i="6" s="1"/>
  <c r="G67" i="6"/>
  <c r="G96" i="6" s="1"/>
  <c r="G125" i="6" s="1"/>
  <c r="F67" i="6"/>
  <c r="F96" i="6" s="1"/>
  <c r="F125" i="6" s="1"/>
  <c r="E67" i="6"/>
  <c r="E96" i="6" s="1"/>
  <c r="E125" i="6" s="1"/>
  <c r="D67" i="6"/>
  <c r="D96" i="6" s="1"/>
  <c r="D125" i="6" s="1"/>
  <c r="C67" i="6"/>
  <c r="C96" i="6" s="1"/>
  <c r="C125" i="6" s="1"/>
  <c r="B67" i="6"/>
  <c r="B96" i="6" s="1"/>
  <c r="B125" i="6" s="1"/>
  <c r="M66" i="6"/>
  <c r="M95" i="6" s="1"/>
  <c r="M124" i="6" s="1"/>
  <c r="L66" i="6"/>
  <c r="L95" i="6" s="1"/>
  <c r="L124" i="6" s="1"/>
  <c r="K66" i="6"/>
  <c r="K95" i="6" s="1"/>
  <c r="K124" i="6" s="1"/>
  <c r="J66" i="6"/>
  <c r="J95" i="6" s="1"/>
  <c r="J124" i="6" s="1"/>
  <c r="I66" i="6"/>
  <c r="I95" i="6" s="1"/>
  <c r="I124" i="6" s="1"/>
  <c r="H66" i="6"/>
  <c r="H95" i="6" s="1"/>
  <c r="H124" i="6" s="1"/>
  <c r="G66" i="6"/>
  <c r="G95" i="6" s="1"/>
  <c r="G124" i="6" s="1"/>
  <c r="F66" i="6"/>
  <c r="F95" i="6" s="1"/>
  <c r="F124" i="6" s="1"/>
  <c r="E66" i="6"/>
  <c r="E95" i="6" s="1"/>
  <c r="E124" i="6" s="1"/>
  <c r="D66" i="6"/>
  <c r="D95" i="6" s="1"/>
  <c r="D124" i="6" s="1"/>
  <c r="C66" i="6"/>
  <c r="C95" i="6" s="1"/>
  <c r="C124" i="6" s="1"/>
  <c r="B66" i="6"/>
  <c r="B95" i="6" s="1"/>
  <c r="B124" i="6" s="1"/>
  <c r="M65" i="6"/>
  <c r="M94" i="6" s="1"/>
  <c r="M123" i="6" s="1"/>
  <c r="L65" i="6"/>
  <c r="L94" i="6" s="1"/>
  <c r="L123" i="6" s="1"/>
  <c r="K65" i="6"/>
  <c r="K94" i="6" s="1"/>
  <c r="K123" i="6" s="1"/>
  <c r="J65" i="6"/>
  <c r="J94" i="6" s="1"/>
  <c r="J123" i="6" s="1"/>
  <c r="I65" i="6"/>
  <c r="I94" i="6" s="1"/>
  <c r="I123" i="6" s="1"/>
  <c r="H65" i="6"/>
  <c r="H94" i="6" s="1"/>
  <c r="H123" i="6" s="1"/>
  <c r="G65" i="6"/>
  <c r="G94" i="6" s="1"/>
  <c r="G123" i="6" s="1"/>
  <c r="F65" i="6"/>
  <c r="F94" i="6" s="1"/>
  <c r="F123" i="6" s="1"/>
  <c r="E65" i="6"/>
  <c r="E94" i="6" s="1"/>
  <c r="E123" i="6" s="1"/>
  <c r="D65" i="6"/>
  <c r="D94" i="6" s="1"/>
  <c r="D123" i="6" s="1"/>
  <c r="C65" i="6"/>
  <c r="C94" i="6" s="1"/>
  <c r="C123" i="6" s="1"/>
  <c r="B65" i="6"/>
  <c r="B94" i="6" s="1"/>
  <c r="B123" i="6" s="1"/>
  <c r="M64" i="6"/>
  <c r="M93" i="6" s="1"/>
  <c r="M122" i="6" s="1"/>
  <c r="L64" i="6"/>
  <c r="L93" i="6" s="1"/>
  <c r="L122" i="6" s="1"/>
  <c r="K64" i="6"/>
  <c r="K93" i="6" s="1"/>
  <c r="K122" i="6" s="1"/>
  <c r="J64" i="6"/>
  <c r="J93" i="6" s="1"/>
  <c r="J122" i="6" s="1"/>
  <c r="I64" i="6"/>
  <c r="I93" i="6" s="1"/>
  <c r="I122" i="6" s="1"/>
  <c r="H64" i="6"/>
  <c r="H93" i="6" s="1"/>
  <c r="H122" i="6" s="1"/>
  <c r="G64" i="6"/>
  <c r="G93" i="6" s="1"/>
  <c r="G122" i="6" s="1"/>
  <c r="F64" i="6"/>
  <c r="F93" i="6" s="1"/>
  <c r="F122" i="6" s="1"/>
  <c r="E64" i="6"/>
  <c r="E93" i="6" s="1"/>
  <c r="E122" i="6" s="1"/>
  <c r="D64" i="6"/>
  <c r="D93" i="6" s="1"/>
  <c r="D122" i="6" s="1"/>
  <c r="C64" i="6"/>
  <c r="C93" i="6" s="1"/>
  <c r="C122" i="6" s="1"/>
  <c r="B64" i="6"/>
  <c r="B93" i="6" s="1"/>
  <c r="B122" i="6" s="1"/>
  <c r="M63" i="6"/>
  <c r="M92" i="6" s="1"/>
  <c r="M121" i="6" s="1"/>
  <c r="L63" i="6"/>
  <c r="L92" i="6" s="1"/>
  <c r="L121" i="6" s="1"/>
  <c r="K63" i="6"/>
  <c r="K92" i="6" s="1"/>
  <c r="K121" i="6" s="1"/>
  <c r="J63" i="6"/>
  <c r="J92" i="6" s="1"/>
  <c r="J121" i="6" s="1"/>
  <c r="I63" i="6"/>
  <c r="I92" i="6" s="1"/>
  <c r="I121" i="6" s="1"/>
  <c r="H63" i="6"/>
  <c r="H92" i="6" s="1"/>
  <c r="H121" i="6" s="1"/>
  <c r="G63" i="6"/>
  <c r="G92" i="6" s="1"/>
  <c r="G121" i="6" s="1"/>
  <c r="F63" i="6"/>
  <c r="F92" i="6" s="1"/>
  <c r="F121" i="6" s="1"/>
  <c r="E63" i="6"/>
  <c r="E92" i="6" s="1"/>
  <c r="E121" i="6" s="1"/>
  <c r="D63" i="6"/>
  <c r="D92" i="6" s="1"/>
  <c r="D121" i="6" s="1"/>
  <c r="C63" i="6"/>
  <c r="C92" i="6" s="1"/>
  <c r="C121" i="6" s="1"/>
  <c r="B63" i="6"/>
  <c r="B92" i="6" s="1"/>
  <c r="B121" i="6" s="1"/>
  <c r="M62" i="6"/>
  <c r="M91" i="6" s="1"/>
  <c r="M120" i="6" s="1"/>
  <c r="L62" i="6"/>
  <c r="L91" i="6" s="1"/>
  <c r="L120" i="6" s="1"/>
  <c r="K62" i="6"/>
  <c r="K91" i="6" s="1"/>
  <c r="K120" i="6" s="1"/>
  <c r="J62" i="6"/>
  <c r="J91" i="6" s="1"/>
  <c r="J120" i="6" s="1"/>
  <c r="I62" i="6"/>
  <c r="I91" i="6" s="1"/>
  <c r="I120" i="6" s="1"/>
  <c r="H62" i="6"/>
  <c r="H91" i="6" s="1"/>
  <c r="H120" i="6" s="1"/>
  <c r="G62" i="6"/>
  <c r="G91" i="6" s="1"/>
  <c r="G120" i="6" s="1"/>
  <c r="F62" i="6"/>
  <c r="F91" i="6" s="1"/>
  <c r="F120" i="6" s="1"/>
  <c r="E62" i="6"/>
  <c r="E91" i="6" s="1"/>
  <c r="E120" i="6" s="1"/>
  <c r="D62" i="6"/>
  <c r="D91" i="6" s="1"/>
  <c r="D120" i="6" s="1"/>
  <c r="C62" i="6"/>
  <c r="C91" i="6" s="1"/>
  <c r="C120" i="6" s="1"/>
  <c r="B62" i="6"/>
  <c r="B91" i="6" s="1"/>
  <c r="B120" i="6" s="1"/>
  <c r="M61" i="6"/>
  <c r="M90" i="6" s="1"/>
  <c r="M119" i="6" s="1"/>
  <c r="L61" i="6"/>
  <c r="L90" i="6" s="1"/>
  <c r="L119" i="6" s="1"/>
  <c r="K61" i="6"/>
  <c r="K90" i="6" s="1"/>
  <c r="K119" i="6" s="1"/>
  <c r="J61" i="6"/>
  <c r="J90" i="6" s="1"/>
  <c r="J119" i="6" s="1"/>
  <c r="I61" i="6"/>
  <c r="I90" i="6" s="1"/>
  <c r="I119" i="6" s="1"/>
  <c r="H61" i="6"/>
  <c r="H90" i="6" s="1"/>
  <c r="H119" i="6" s="1"/>
  <c r="G61" i="6"/>
  <c r="G90" i="6" s="1"/>
  <c r="G119" i="6" s="1"/>
  <c r="F61" i="6"/>
  <c r="F90" i="6" s="1"/>
  <c r="F119" i="6" s="1"/>
  <c r="E61" i="6"/>
  <c r="E90" i="6" s="1"/>
  <c r="E119" i="6" s="1"/>
  <c r="D61" i="6"/>
  <c r="D90" i="6" s="1"/>
  <c r="D119" i="6" s="1"/>
  <c r="C61" i="6"/>
  <c r="C90" i="6" s="1"/>
  <c r="C119" i="6" s="1"/>
  <c r="B61" i="6"/>
  <c r="B90" i="6" s="1"/>
  <c r="B119" i="6" s="1"/>
  <c r="M60" i="6"/>
  <c r="M89" i="6" s="1"/>
  <c r="M118" i="6" s="1"/>
  <c r="L60" i="6"/>
  <c r="L89" i="6" s="1"/>
  <c r="L118" i="6" s="1"/>
  <c r="K60" i="6"/>
  <c r="K89" i="6" s="1"/>
  <c r="K118" i="6" s="1"/>
  <c r="J60" i="6"/>
  <c r="J89" i="6" s="1"/>
  <c r="J118" i="6" s="1"/>
  <c r="I60" i="6"/>
  <c r="I89" i="6" s="1"/>
  <c r="I118" i="6" s="1"/>
  <c r="H60" i="6"/>
  <c r="H89" i="6" s="1"/>
  <c r="H118" i="6" s="1"/>
  <c r="G60" i="6"/>
  <c r="G89" i="6" s="1"/>
  <c r="G118" i="6" s="1"/>
  <c r="F60" i="6"/>
  <c r="F89" i="6" s="1"/>
  <c r="F118" i="6" s="1"/>
  <c r="E60" i="6"/>
  <c r="E89" i="6" s="1"/>
  <c r="E118" i="6" s="1"/>
  <c r="D60" i="6"/>
  <c r="D89" i="6" s="1"/>
  <c r="D118" i="6" s="1"/>
  <c r="C60" i="6"/>
  <c r="C89" i="6" s="1"/>
  <c r="C118" i="6" s="1"/>
  <c r="B60" i="6"/>
  <c r="B89" i="6" s="1"/>
  <c r="B118" i="6" s="1"/>
  <c r="M59" i="6"/>
  <c r="M88" i="6" s="1"/>
  <c r="M117" i="6" s="1"/>
  <c r="L59" i="6"/>
  <c r="L88" i="6" s="1"/>
  <c r="L117" i="6" s="1"/>
  <c r="K59" i="6"/>
  <c r="K88" i="6" s="1"/>
  <c r="K117" i="6" s="1"/>
  <c r="J59" i="6"/>
  <c r="J88" i="6" s="1"/>
  <c r="J117" i="6" s="1"/>
  <c r="I59" i="6"/>
  <c r="I88" i="6" s="1"/>
  <c r="I117" i="6" s="1"/>
  <c r="H59" i="6"/>
  <c r="H88" i="6" s="1"/>
  <c r="H117" i="6" s="1"/>
  <c r="G59" i="6"/>
  <c r="G88" i="6" s="1"/>
  <c r="G117" i="6" s="1"/>
  <c r="F59" i="6"/>
  <c r="F88" i="6" s="1"/>
  <c r="F117" i="6" s="1"/>
  <c r="E59" i="6"/>
  <c r="E88" i="6" s="1"/>
  <c r="E117" i="6" s="1"/>
  <c r="D59" i="6"/>
  <c r="D88" i="6" s="1"/>
  <c r="D117" i="6" s="1"/>
  <c r="C59" i="6"/>
  <c r="C88" i="6" s="1"/>
  <c r="C117" i="6" s="1"/>
  <c r="B59" i="6"/>
  <c r="B88" i="6" s="1"/>
  <c r="B117" i="6" s="1"/>
  <c r="M58" i="6"/>
  <c r="M87" i="6" s="1"/>
  <c r="M116" i="6" s="1"/>
  <c r="L58" i="6"/>
  <c r="L87" i="6" s="1"/>
  <c r="L116" i="6" s="1"/>
  <c r="K58" i="6"/>
  <c r="K87" i="6" s="1"/>
  <c r="K116" i="6" s="1"/>
  <c r="J58" i="6"/>
  <c r="J87" i="6" s="1"/>
  <c r="J116" i="6" s="1"/>
  <c r="I58" i="6"/>
  <c r="I87" i="6" s="1"/>
  <c r="I116" i="6" s="1"/>
  <c r="H58" i="6"/>
  <c r="H87" i="6" s="1"/>
  <c r="H116" i="6" s="1"/>
  <c r="G58" i="6"/>
  <c r="G87" i="6" s="1"/>
  <c r="G116" i="6" s="1"/>
  <c r="F58" i="6"/>
  <c r="F87" i="6" s="1"/>
  <c r="F116" i="6" s="1"/>
  <c r="E58" i="6"/>
  <c r="E87" i="6" s="1"/>
  <c r="E116" i="6" s="1"/>
  <c r="D58" i="6"/>
  <c r="D87" i="6" s="1"/>
  <c r="D116" i="6" s="1"/>
  <c r="C58" i="6"/>
  <c r="C87" i="6" s="1"/>
  <c r="C116" i="6" s="1"/>
  <c r="B58" i="6"/>
  <c r="B87" i="6" s="1"/>
  <c r="B116" i="6" s="1"/>
  <c r="M57" i="6"/>
  <c r="M86" i="6" s="1"/>
  <c r="M115" i="6" s="1"/>
  <c r="L57" i="6"/>
  <c r="L86" i="6" s="1"/>
  <c r="L115" i="6" s="1"/>
  <c r="K57" i="6"/>
  <c r="K86" i="6" s="1"/>
  <c r="K115" i="6" s="1"/>
  <c r="J57" i="6"/>
  <c r="J86" i="6" s="1"/>
  <c r="J115" i="6" s="1"/>
  <c r="I57" i="6"/>
  <c r="I86" i="6" s="1"/>
  <c r="I115" i="6" s="1"/>
  <c r="H57" i="6"/>
  <c r="H86" i="6" s="1"/>
  <c r="H115" i="6" s="1"/>
  <c r="G57" i="6"/>
  <c r="G86" i="6" s="1"/>
  <c r="G115" i="6" s="1"/>
  <c r="F57" i="6"/>
  <c r="F86" i="6" s="1"/>
  <c r="F115" i="6" s="1"/>
  <c r="E57" i="6"/>
  <c r="E86" i="6" s="1"/>
  <c r="E115" i="6" s="1"/>
  <c r="D57" i="6"/>
  <c r="D86" i="6" s="1"/>
  <c r="D115" i="6" s="1"/>
  <c r="C57" i="6"/>
  <c r="C86" i="6" s="1"/>
  <c r="C115" i="6" s="1"/>
  <c r="B57" i="6"/>
  <c r="B86" i="6" s="1"/>
  <c r="B115" i="6" s="1"/>
  <c r="M56" i="6"/>
  <c r="M85" i="6" s="1"/>
  <c r="M114" i="6" s="1"/>
  <c r="L56" i="6"/>
  <c r="L85" i="6" s="1"/>
  <c r="L114" i="6" s="1"/>
  <c r="K56" i="6"/>
  <c r="K85" i="6" s="1"/>
  <c r="K114" i="6" s="1"/>
  <c r="J56" i="6"/>
  <c r="J85" i="6" s="1"/>
  <c r="J114" i="6" s="1"/>
  <c r="I56" i="6"/>
  <c r="I85" i="6" s="1"/>
  <c r="I114" i="6" s="1"/>
  <c r="H56" i="6"/>
  <c r="H85" i="6" s="1"/>
  <c r="H114" i="6" s="1"/>
  <c r="G56" i="6"/>
  <c r="G85" i="6" s="1"/>
  <c r="G114" i="6" s="1"/>
  <c r="F56" i="6"/>
  <c r="F85" i="6" s="1"/>
  <c r="F114" i="6" s="1"/>
  <c r="E56" i="6"/>
  <c r="E85" i="6" s="1"/>
  <c r="E114" i="6" s="1"/>
  <c r="D56" i="6"/>
  <c r="D85" i="6" s="1"/>
  <c r="D114" i="6" s="1"/>
  <c r="C56" i="6"/>
  <c r="C85" i="6" s="1"/>
  <c r="C114" i="6" s="1"/>
  <c r="B56" i="6"/>
  <c r="B85" i="6" s="1"/>
  <c r="B114" i="6" s="1"/>
  <c r="M55" i="6"/>
  <c r="M84" i="6" s="1"/>
  <c r="M113" i="6" s="1"/>
  <c r="L55" i="6"/>
  <c r="L84" i="6" s="1"/>
  <c r="L113" i="6" s="1"/>
  <c r="K55" i="6"/>
  <c r="K84" i="6" s="1"/>
  <c r="K113" i="6" s="1"/>
  <c r="J55" i="6"/>
  <c r="J84" i="6" s="1"/>
  <c r="J113" i="6" s="1"/>
  <c r="I55" i="6"/>
  <c r="I84" i="6" s="1"/>
  <c r="I113" i="6" s="1"/>
  <c r="H55" i="6"/>
  <c r="H84" i="6" s="1"/>
  <c r="H113" i="6" s="1"/>
  <c r="G55" i="6"/>
  <c r="G84" i="6" s="1"/>
  <c r="G113" i="6" s="1"/>
  <c r="F55" i="6"/>
  <c r="F84" i="6" s="1"/>
  <c r="F113" i="6" s="1"/>
  <c r="E55" i="6"/>
  <c r="E84" i="6" s="1"/>
  <c r="E113" i="6" s="1"/>
  <c r="D55" i="6"/>
  <c r="D84" i="6" s="1"/>
  <c r="D113" i="6" s="1"/>
  <c r="C55" i="6"/>
  <c r="C84" i="6" s="1"/>
  <c r="C113" i="6" s="1"/>
  <c r="B55" i="6"/>
  <c r="B84" i="6" s="1"/>
  <c r="B113" i="6" s="1"/>
  <c r="M54" i="6"/>
  <c r="M83" i="6" s="1"/>
  <c r="M112" i="6" s="1"/>
  <c r="L54" i="6"/>
  <c r="L83" i="6" s="1"/>
  <c r="L112" i="6" s="1"/>
  <c r="K54" i="6"/>
  <c r="K83" i="6" s="1"/>
  <c r="K112" i="6" s="1"/>
  <c r="J54" i="6"/>
  <c r="J83" i="6" s="1"/>
  <c r="J112" i="6" s="1"/>
  <c r="I54" i="6"/>
  <c r="I83" i="6" s="1"/>
  <c r="I112" i="6" s="1"/>
  <c r="H54" i="6"/>
  <c r="H83" i="6" s="1"/>
  <c r="H112" i="6" s="1"/>
  <c r="G54" i="6"/>
  <c r="G83" i="6" s="1"/>
  <c r="G112" i="6" s="1"/>
  <c r="F54" i="6"/>
  <c r="F83" i="6" s="1"/>
  <c r="F112" i="6" s="1"/>
  <c r="E54" i="6"/>
  <c r="E83" i="6" s="1"/>
  <c r="E112" i="6" s="1"/>
  <c r="D54" i="6"/>
  <c r="D83" i="6" s="1"/>
  <c r="D112" i="6" s="1"/>
  <c r="C54" i="6"/>
  <c r="C83" i="6" s="1"/>
  <c r="C112" i="6" s="1"/>
  <c r="B54" i="6"/>
  <c r="B83" i="6" s="1"/>
  <c r="B112" i="6" s="1"/>
  <c r="M53" i="6"/>
  <c r="M82" i="6" s="1"/>
  <c r="M111" i="6" s="1"/>
  <c r="L53" i="6"/>
  <c r="L82" i="6" s="1"/>
  <c r="L111" i="6" s="1"/>
  <c r="K53" i="6"/>
  <c r="K82" i="6" s="1"/>
  <c r="K111" i="6" s="1"/>
  <c r="J53" i="6"/>
  <c r="J82" i="6" s="1"/>
  <c r="J111" i="6" s="1"/>
  <c r="I53" i="6"/>
  <c r="I82" i="6" s="1"/>
  <c r="I111" i="6" s="1"/>
  <c r="H53" i="6"/>
  <c r="H82" i="6" s="1"/>
  <c r="H111" i="6" s="1"/>
  <c r="G53" i="6"/>
  <c r="G82" i="6" s="1"/>
  <c r="G111" i="6" s="1"/>
  <c r="F53" i="6"/>
  <c r="F82" i="6" s="1"/>
  <c r="F111" i="6" s="1"/>
  <c r="E53" i="6"/>
  <c r="E82" i="6" s="1"/>
  <c r="E111" i="6" s="1"/>
  <c r="D53" i="6"/>
  <c r="D82" i="6" s="1"/>
  <c r="D111" i="6" s="1"/>
  <c r="C53" i="6"/>
  <c r="C82" i="6" s="1"/>
  <c r="C111" i="6" s="1"/>
  <c r="B53" i="6"/>
  <c r="B82" i="6" s="1"/>
  <c r="B111" i="6" s="1"/>
  <c r="M52" i="6"/>
  <c r="M81" i="6" s="1"/>
  <c r="M110" i="6" s="1"/>
  <c r="L52" i="6"/>
  <c r="L81" i="6" s="1"/>
  <c r="L110" i="6" s="1"/>
  <c r="K52" i="6"/>
  <c r="K81" i="6" s="1"/>
  <c r="K110" i="6" s="1"/>
  <c r="J52" i="6"/>
  <c r="J81" i="6" s="1"/>
  <c r="J110" i="6" s="1"/>
  <c r="I52" i="6"/>
  <c r="I81" i="6" s="1"/>
  <c r="I110" i="6" s="1"/>
  <c r="H52" i="6"/>
  <c r="H81" i="6" s="1"/>
  <c r="H110" i="6" s="1"/>
  <c r="G52" i="6"/>
  <c r="G81" i="6" s="1"/>
  <c r="G110" i="6" s="1"/>
  <c r="F52" i="6"/>
  <c r="F81" i="6" s="1"/>
  <c r="F110" i="6" s="1"/>
  <c r="E52" i="6"/>
  <c r="E81" i="6" s="1"/>
  <c r="E110" i="6" s="1"/>
  <c r="D52" i="6"/>
  <c r="D81" i="6" s="1"/>
  <c r="D110" i="6" s="1"/>
  <c r="C52" i="6"/>
  <c r="C81" i="6" s="1"/>
  <c r="C110" i="6" s="1"/>
  <c r="B52" i="6"/>
  <c r="B81" i="6" s="1"/>
  <c r="B110" i="6" s="1"/>
  <c r="M51" i="6"/>
  <c r="M80" i="6" s="1"/>
  <c r="M109" i="6" s="1"/>
  <c r="L51" i="6"/>
  <c r="L80" i="6" s="1"/>
  <c r="L109" i="6" s="1"/>
  <c r="K51" i="6"/>
  <c r="K80" i="6" s="1"/>
  <c r="K109" i="6" s="1"/>
  <c r="J51" i="6"/>
  <c r="J80" i="6" s="1"/>
  <c r="J109" i="6" s="1"/>
  <c r="I51" i="6"/>
  <c r="I80" i="6" s="1"/>
  <c r="I109" i="6" s="1"/>
  <c r="H51" i="6"/>
  <c r="H80" i="6" s="1"/>
  <c r="H109" i="6" s="1"/>
  <c r="G51" i="6"/>
  <c r="G80" i="6" s="1"/>
  <c r="G109" i="6" s="1"/>
  <c r="F51" i="6"/>
  <c r="F80" i="6" s="1"/>
  <c r="F109" i="6" s="1"/>
  <c r="E51" i="6"/>
  <c r="E80" i="6" s="1"/>
  <c r="E109" i="6" s="1"/>
  <c r="D51" i="6"/>
  <c r="D80" i="6" s="1"/>
  <c r="D109" i="6" s="1"/>
  <c r="C51" i="6"/>
  <c r="C80" i="6" s="1"/>
  <c r="C109" i="6" s="1"/>
  <c r="B51" i="6"/>
  <c r="B80" i="6" s="1"/>
  <c r="B109" i="6" s="1"/>
  <c r="M50" i="6"/>
  <c r="M79" i="6" s="1"/>
  <c r="M108" i="6" s="1"/>
  <c r="L50" i="6"/>
  <c r="L79" i="6" s="1"/>
  <c r="L108" i="6" s="1"/>
  <c r="K50" i="6"/>
  <c r="K79" i="6" s="1"/>
  <c r="K108" i="6" s="1"/>
  <c r="J50" i="6"/>
  <c r="J79" i="6" s="1"/>
  <c r="J108" i="6" s="1"/>
  <c r="I50" i="6"/>
  <c r="I79" i="6" s="1"/>
  <c r="I108" i="6" s="1"/>
  <c r="H50" i="6"/>
  <c r="H79" i="6" s="1"/>
  <c r="H108" i="6" s="1"/>
  <c r="G50" i="6"/>
  <c r="G79" i="6" s="1"/>
  <c r="G108" i="6" s="1"/>
  <c r="F50" i="6"/>
  <c r="F79" i="6" s="1"/>
  <c r="F108" i="6" s="1"/>
  <c r="E50" i="6"/>
  <c r="E79" i="6" s="1"/>
  <c r="E108" i="6" s="1"/>
  <c r="D50" i="6"/>
  <c r="D79" i="6" s="1"/>
  <c r="D108" i="6" s="1"/>
  <c r="C50" i="6"/>
  <c r="C79" i="6" s="1"/>
  <c r="C108" i="6" s="1"/>
  <c r="B50" i="6"/>
  <c r="B79" i="6" s="1"/>
  <c r="B108" i="6" s="1"/>
  <c r="M49" i="6"/>
  <c r="M78" i="6" s="1"/>
  <c r="M107" i="6" s="1"/>
  <c r="L49" i="6"/>
  <c r="L78" i="6" s="1"/>
  <c r="K49" i="6"/>
  <c r="K78" i="6" s="1"/>
  <c r="J49" i="6"/>
  <c r="J73" i="6" s="1"/>
  <c r="I49" i="6"/>
  <c r="I78" i="6" s="1"/>
  <c r="H49" i="6"/>
  <c r="G49" i="6"/>
  <c r="F49" i="6"/>
  <c r="F78" i="6" s="1"/>
  <c r="E49" i="6"/>
  <c r="E78" i="6" s="1"/>
  <c r="E107" i="6" s="1"/>
  <c r="D49" i="6"/>
  <c r="D78" i="6" s="1"/>
  <c r="C49" i="6"/>
  <c r="C78" i="6" s="1"/>
  <c r="B49" i="6"/>
  <c r="B73" i="6" s="1"/>
  <c r="M36" i="6"/>
  <c r="L36" i="6"/>
  <c r="K36" i="6"/>
  <c r="J36" i="6"/>
  <c r="I36" i="6"/>
  <c r="H36" i="6"/>
  <c r="G36" i="6"/>
  <c r="F36" i="6"/>
  <c r="E36" i="6"/>
  <c r="D36" i="6"/>
  <c r="B36" i="6"/>
  <c r="M32" i="6"/>
  <c r="M33" i="6" s="1"/>
  <c r="M41" i="6" s="1"/>
  <c r="L32" i="6"/>
  <c r="L33" i="6" s="1"/>
  <c r="L41" i="6" s="1"/>
  <c r="K32" i="6"/>
  <c r="K33" i="6" s="1"/>
  <c r="J32" i="6"/>
  <c r="J33" i="6" s="1"/>
  <c r="I32" i="6"/>
  <c r="I33" i="6" s="1"/>
  <c r="H32" i="6"/>
  <c r="H33" i="6" s="1"/>
  <c r="G32" i="6"/>
  <c r="G33" i="6" s="1"/>
  <c r="F32" i="6"/>
  <c r="F33" i="6" s="1"/>
  <c r="E32" i="6"/>
  <c r="E33" i="6" s="1"/>
  <c r="D32" i="6"/>
  <c r="D33" i="6" s="1"/>
  <c r="C33" i="6"/>
  <c r="C41" i="6" s="1"/>
  <c r="C44" i="6" s="1"/>
  <c r="B32" i="6"/>
  <c r="B33" i="6" s="1"/>
  <c r="N31" i="6"/>
  <c r="B41" i="6" l="1"/>
  <c r="K41" i="6"/>
  <c r="K44" i="6" s="1"/>
  <c r="H41" i="6"/>
  <c r="H44" i="6" s="1"/>
  <c r="H270" i="1" s="1"/>
  <c r="AL270" i="1" s="1"/>
  <c r="I41" i="6"/>
  <c r="I44" i="6" s="1"/>
  <c r="H309" i="1" s="1"/>
  <c r="AL309" i="1" s="1"/>
  <c r="J41" i="6"/>
  <c r="J44" i="6" s="1"/>
  <c r="H348" i="1" s="1"/>
  <c r="AL348" i="1" s="1"/>
  <c r="H387" i="1"/>
  <c r="AL387" i="1" s="1"/>
  <c r="F41" i="6"/>
  <c r="F44" i="6" s="1"/>
  <c r="H70" i="1"/>
  <c r="AL70" i="1" s="1"/>
  <c r="G41" i="6"/>
  <c r="G44" i="6" s="1"/>
  <c r="M42" i="6"/>
  <c r="M43" i="6" s="1"/>
  <c r="L42" i="6"/>
  <c r="L43" i="6" s="1"/>
  <c r="M44" i="6"/>
  <c r="K42" i="6"/>
  <c r="K43" i="6" s="1"/>
  <c r="L44" i="6"/>
  <c r="B42" i="6"/>
  <c r="B43" i="6" s="1"/>
  <c r="D41" i="6"/>
  <c r="D42" i="6" s="1"/>
  <c r="D43" i="6" s="1"/>
  <c r="B44" i="6"/>
  <c r="B5" i="8"/>
  <c r="AJ259" i="1"/>
  <c r="AJ251" i="1"/>
  <c r="AJ262" i="1"/>
  <c r="AJ260" i="1"/>
  <c r="AJ266" i="1"/>
  <c r="AJ258" i="1"/>
  <c r="AJ254" i="1"/>
  <c r="AJ265" i="1"/>
  <c r="AJ257" i="1"/>
  <c r="AJ252" i="1"/>
  <c r="AJ264" i="1"/>
  <c r="AJ256" i="1"/>
  <c r="AJ263" i="1"/>
  <c r="AJ255" i="1"/>
  <c r="AJ261" i="1"/>
  <c r="AJ253" i="1"/>
  <c r="F262" i="1"/>
  <c r="V262" i="1" s="1"/>
  <c r="F254" i="1"/>
  <c r="V254" i="1" s="1"/>
  <c r="F261" i="1"/>
  <c r="V261" i="1" s="1"/>
  <c r="F260" i="1"/>
  <c r="V260" i="1" s="1"/>
  <c r="F252" i="1"/>
  <c r="V252" i="1" s="1"/>
  <c r="F259" i="1"/>
  <c r="V259" i="1" s="1"/>
  <c r="F258" i="1"/>
  <c r="V258" i="1" s="1"/>
  <c r="F256" i="1"/>
  <c r="V256" i="1" s="1"/>
  <c r="F263" i="1"/>
  <c r="V263" i="1" s="1"/>
  <c r="F253" i="1"/>
  <c r="V253" i="1" s="1"/>
  <c r="F251" i="1"/>
  <c r="V251" i="1" s="1"/>
  <c r="F257" i="1"/>
  <c r="V257" i="1" s="1"/>
  <c r="F264" i="1"/>
  <c r="V264" i="1" s="1"/>
  <c r="F255" i="1"/>
  <c r="V255" i="1" s="1"/>
  <c r="F266" i="1"/>
  <c r="V266" i="1" s="1"/>
  <c r="F265" i="1"/>
  <c r="V265" i="1" s="1"/>
  <c r="AJ340" i="1"/>
  <c r="AJ332" i="1"/>
  <c r="AJ339" i="1"/>
  <c r="AJ331" i="1"/>
  <c r="AJ338" i="1"/>
  <c r="AJ330" i="1"/>
  <c r="AJ337" i="1"/>
  <c r="AJ329" i="1"/>
  <c r="AJ344" i="1"/>
  <c r="AJ336" i="1"/>
  <c r="AJ333" i="1"/>
  <c r="AJ343" i="1"/>
  <c r="AJ335" i="1"/>
  <c r="AJ342" i="1"/>
  <c r="AJ334" i="1"/>
  <c r="AJ341" i="1"/>
  <c r="F340" i="1"/>
  <c r="F332" i="1"/>
  <c r="V332" i="1" s="1"/>
  <c r="F330" i="1"/>
  <c r="V330" i="1" s="1"/>
  <c r="F329" i="1"/>
  <c r="V329" i="1" s="1"/>
  <c r="F344" i="1"/>
  <c r="V344" i="1" s="1"/>
  <c r="F335" i="1"/>
  <c r="V335" i="1" s="1"/>
  <c r="F339" i="1"/>
  <c r="V339" i="1" s="1"/>
  <c r="F331" i="1"/>
  <c r="V331" i="1" s="1"/>
  <c r="F333" i="1"/>
  <c r="V333" i="1" s="1"/>
  <c r="F338" i="1"/>
  <c r="V338" i="1" s="1"/>
  <c r="F343" i="1"/>
  <c r="V343" i="1" s="1"/>
  <c r="F337" i="1"/>
  <c r="V337" i="1" s="1"/>
  <c r="F336" i="1"/>
  <c r="V336" i="1" s="1"/>
  <c r="F342" i="1"/>
  <c r="V342" i="1" s="1"/>
  <c r="F341" i="1"/>
  <c r="V341" i="1" s="1"/>
  <c r="F334" i="1"/>
  <c r="V334" i="1" s="1"/>
  <c r="AJ220" i="1"/>
  <c r="AJ212" i="1"/>
  <c r="AJ223" i="1"/>
  <c r="AJ214" i="1"/>
  <c r="AJ227" i="1"/>
  <c r="AJ219" i="1"/>
  <c r="AJ226" i="1"/>
  <c r="AJ218" i="1"/>
  <c r="AJ225" i="1"/>
  <c r="AJ217" i="1"/>
  <c r="AJ224" i="1"/>
  <c r="AJ216" i="1"/>
  <c r="AJ215" i="1"/>
  <c r="AJ222" i="1"/>
  <c r="AJ213" i="1"/>
  <c r="AJ221" i="1"/>
  <c r="F223" i="1"/>
  <c r="F215" i="1"/>
  <c r="F222" i="1"/>
  <c r="F214" i="1"/>
  <c r="F212" i="1"/>
  <c r="F218" i="1"/>
  <c r="F217" i="1"/>
  <c r="F221" i="1"/>
  <c r="F219" i="1"/>
  <c r="F226" i="1"/>
  <c r="F224" i="1"/>
  <c r="F213" i="1"/>
  <c r="F220" i="1"/>
  <c r="F227" i="1"/>
  <c r="F225" i="1"/>
  <c r="F216" i="1"/>
  <c r="AJ301" i="1"/>
  <c r="AJ293" i="1"/>
  <c r="AJ302" i="1"/>
  <c r="AJ300" i="1"/>
  <c r="AJ292" i="1"/>
  <c r="AJ299" i="1"/>
  <c r="AJ291" i="1"/>
  <c r="AJ298" i="1"/>
  <c r="AJ290" i="1"/>
  <c r="AJ296" i="1"/>
  <c r="AJ305" i="1"/>
  <c r="AJ297" i="1"/>
  <c r="AJ294" i="1"/>
  <c r="AJ304" i="1"/>
  <c r="AJ303" i="1"/>
  <c r="AJ295" i="1"/>
  <c r="F301" i="1"/>
  <c r="V301" i="1" s="1"/>
  <c r="F293" i="1"/>
  <c r="V293" i="1" s="1"/>
  <c r="F300" i="1"/>
  <c r="V300" i="1" s="1"/>
  <c r="F292" i="1"/>
  <c r="V292" i="1" s="1"/>
  <c r="F291" i="1"/>
  <c r="V291" i="1" s="1"/>
  <c r="F298" i="1"/>
  <c r="V298" i="1" s="1"/>
  <c r="F305" i="1"/>
  <c r="V305" i="1" s="1"/>
  <c r="F304" i="1"/>
  <c r="V304" i="1" s="1"/>
  <c r="F295" i="1"/>
  <c r="V295" i="1" s="1"/>
  <c r="F299" i="1"/>
  <c r="F297" i="1"/>
  <c r="V297" i="1" s="1"/>
  <c r="F303" i="1"/>
  <c r="V303" i="1" s="1"/>
  <c r="F294" i="1"/>
  <c r="V294" i="1" s="1"/>
  <c r="F290" i="1"/>
  <c r="V290" i="1" s="1"/>
  <c r="F296" i="1"/>
  <c r="V296" i="1" s="1"/>
  <c r="F302" i="1"/>
  <c r="V302" i="1" s="1"/>
  <c r="E41" i="6"/>
  <c r="I42" i="6"/>
  <c r="I43" i="6" s="1"/>
  <c r="H42" i="6"/>
  <c r="H43" i="6" s="1"/>
  <c r="N36" i="6"/>
  <c r="AJ463" i="1"/>
  <c r="AJ455" i="1"/>
  <c r="AJ462" i="1"/>
  <c r="AJ454" i="1"/>
  <c r="AJ461" i="1"/>
  <c r="AJ453" i="1"/>
  <c r="AJ460" i="1"/>
  <c r="AJ452" i="1"/>
  <c r="AJ459" i="1"/>
  <c r="AJ451" i="1"/>
  <c r="AJ458" i="1"/>
  <c r="AJ450" i="1"/>
  <c r="AJ457" i="1"/>
  <c r="AJ449" i="1"/>
  <c r="AJ456" i="1"/>
  <c r="AJ448" i="1"/>
  <c r="F460" i="1"/>
  <c r="F452" i="1"/>
  <c r="F451" i="1"/>
  <c r="F458" i="1"/>
  <c r="F450" i="1"/>
  <c r="F457" i="1"/>
  <c r="F456" i="1"/>
  <c r="F462" i="1"/>
  <c r="F459" i="1"/>
  <c r="F449" i="1"/>
  <c r="F448" i="1"/>
  <c r="F455" i="1"/>
  <c r="F454" i="1"/>
  <c r="F453" i="1"/>
  <c r="F463" i="1"/>
  <c r="F461" i="1"/>
  <c r="AJ418" i="1"/>
  <c r="AJ410" i="1"/>
  <c r="AJ417" i="1"/>
  <c r="AJ409" i="1"/>
  <c r="AJ416" i="1"/>
  <c r="AJ408" i="1"/>
  <c r="AJ415" i="1"/>
  <c r="AJ407" i="1"/>
  <c r="AJ422" i="1"/>
  <c r="AJ414" i="1"/>
  <c r="AJ421" i="1"/>
  <c r="AJ413" i="1"/>
  <c r="AJ420" i="1"/>
  <c r="AJ412" i="1"/>
  <c r="AJ419" i="1"/>
  <c r="AJ411" i="1"/>
  <c r="F420" i="1"/>
  <c r="F412" i="1"/>
  <c r="F411" i="1"/>
  <c r="F410" i="1"/>
  <c r="F417" i="1"/>
  <c r="F413" i="1"/>
  <c r="F419" i="1"/>
  <c r="F409" i="1"/>
  <c r="F408" i="1"/>
  <c r="F407" i="1"/>
  <c r="F418" i="1"/>
  <c r="F416" i="1"/>
  <c r="F415" i="1"/>
  <c r="F421" i="1"/>
  <c r="F422" i="1"/>
  <c r="F414" i="1"/>
  <c r="AJ378" i="1"/>
  <c r="AJ370" i="1"/>
  <c r="AJ377" i="1"/>
  <c r="AJ369" i="1"/>
  <c r="AJ376" i="1"/>
  <c r="AJ368" i="1"/>
  <c r="AJ383" i="1"/>
  <c r="AJ375" i="1"/>
  <c r="AJ382" i="1"/>
  <c r="AJ374" i="1"/>
  <c r="AJ381" i="1"/>
  <c r="AJ373" i="1"/>
  <c r="AJ380" i="1"/>
  <c r="AJ372" i="1"/>
  <c r="AJ379" i="1"/>
  <c r="AJ371" i="1"/>
  <c r="F382" i="1"/>
  <c r="F374" i="1"/>
  <c r="F373" i="1"/>
  <c r="F372" i="1"/>
  <c r="F379" i="1"/>
  <c r="F369" i="1"/>
  <c r="F383" i="1"/>
  <c r="F381" i="1"/>
  <c r="F371" i="1"/>
  <c r="F378" i="1"/>
  <c r="F368" i="1"/>
  <c r="F380" i="1"/>
  <c r="F370" i="1"/>
  <c r="F377" i="1"/>
  <c r="F376" i="1"/>
  <c r="F375" i="1"/>
  <c r="AJ185" i="1"/>
  <c r="AJ177" i="1"/>
  <c r="AJ184" i="1"/>
  <c r="AJ176" i="1"/>
  <c r="AJ183" i="1"/>
  <c r="AJ175" i="1"/>
  <c r="AJ182" i="1"/>
  <c r="AJ174" i="1"/>
  <c r="AJ181" i="1"/>
  <c r="AJ173" i="1"/>
  <c r="AJ180" i="1"/>
  <c r="AJ172" i="1"/>
  <c r="AJ179" i="1"/>
  <c r="AJ171" i="1"/>
  <c r="AJ186" i="1"/>
  <c r="AJ178" i="1"/>
  <c r="F186" i="1"/>
  <c r="F178" i="1"/>
  <c r="F185" i="1"/>
  <c r="F184" i="1"/>
  <c r="F183" i="1"/>
  <c r="F177" i="1"/>
  <c r="F175" i="1"/>
  <c r="F179" i="1"/>
  <c r="F176" i="1"/>
  <c r="F182" i="1"/>
  <c r="F181" i="1"/>
  <c r="F180" i="1"/>
  <c r="F173" i="1"/>
  <c r="F171" i="1"/>
  <c r="F174" i="1"/>
  <c r="F172" i="1"/>
  <c r="AJ140" i="1"/>
  <c r="AJ132" i="1"/>
  <c r="AJ139" i="1"/>
  <c r="AJ131" i="1"/>
  <c r="AJ146" i="1"/>
  <c r="AJ138" i="1"/>
  <c r="AJ133" i="1"/>
  <c r="AJ145" i="1"/>
  <c r="AJ137" i="1"/>
  <c r="AJ144" i="1"/>
  <c r="AJ136" i="1"/>
  <c r="AJ143" i="1"/>
  <c r="AJ135" i="1"/>
  <c r="AJ141" i="1"/>
  <c r="AJ142" i="1"/>
  <c r="AJ134" i="1"/>
  <c r="F139" i="1"/>
  <c r="F131" i="1"/>
  <c r="F145" i="1"/>
  <c r="F136" i="1"/>
  <c r="F134" i="1"/>
  <c r="F146" i="1"/>
  <c r="F138" i="1"/>
  <c r="F137" i="1"/>
  <c r="F144" i="1"/>
  <c r="F133" i="1"/>
  <c r="F143" i="1"/>
  <c r="F135" i="1"/>
  <c r="F142" i="1"/>
  <c r="F141" i="1"/>
  <c r="F132" i="1"/>
  <c r="F140" i="1"/>
  <c r="AJ104" i="1"/>
  <c r="AJ96" i="1"/>
  <c r="AJ91" i="1"/>
  <c r="AJ103" i="1"/>
  <c r="AJ95" i="1"/>
  <c r="AJ98" i="1"/>
  <c r="AJ102" i="1"/>
  <c r="AJ94" i="1"/>
  <c r="AJ106" i="1"/>
  <c r="AJ101" i="1"/>
  <c r="AJ93" i="1"/>
  <c r="AJ100" i="1"/>
  <c r="AJ97" i="1"/>
  <c r="AJ92" i="1"/>
  <c r="AJ99" i="1"/>
  <c r="AJ105" i="1"/>
  <c r="F100" i="1"/>
  <c r="F92" i="1"/>
  <c r="F99" i="1"/>
  <c r="F91" i="1"/>
  <c r="F98" i="1"/>
  <c r="F97" i="1"/>
  <c r="F104" i="1"/>
  <c r="F95" i="1"/>
  <c r="F105" i="1"/>
  <c r="F96" i="1"/>
  <c r="F106" i="1"/>
  <c r="F94" i="1"/>
  <c r="F93" i="1"/>
  <c r="F102" i="1"/>
  <c r="F103" i="1"/>
  <c r="F101" i="1"/>
  <c r="AJ65" i="1"/>
  <c r="AJ58" i="1"/>
  <c r="AJ57" i="1"/>
  <c r="AJ55" i="1"/>
  <c r="AJ52" i="1"/>
  <c r="AJ59" i="1"/>
  <c r="AJ64" i="1"/>
  <c r="AJ56" i="1"/>
  <c r="AJ60" i="1"/>
  <c r="AJ63" i="1"/>
  <c r="AJ62" i="1"/>
  <c r="AJ54" i="1"/>
  <c r="AJ61" i="1"/>
  <c r="AJ51" i="1"/>
  <c r="AJ53" i="1"/>
  <c r="AJ66" i="1"/>
  <c r="F60" i="1"/>
  <c r="V60" i="1" s="1"/>
  <c r="F52" i="1"/>
  <c r="V52" i="1" s="1"/>
  <c r="F51" i="1"/>
  <c r="V51" i="1" s="1"/>
  <c r="F66" i="1"/>
  <c r="V66" i="1" s="1"/>
  <c r="F57" i="1"/>
  <c r="F54" i="1"/>
  <c r="V54" i="1" s="1"/>
  <c r="F59" i="1"/>
  <c r="V59" i="1" s="1"/>
  <c r="F64" i="1"/>
  <c r="V64" i="1" s="1"/>
  <c r="F55" i="1"/>
  <c r="V55" i="1" s="1"/>
  <c r="F58" i="1"/>
  <c r="V58" i="1" s="1"/>
  <c r="F56" i="1"/>
  <c r="V56" i="1" s="1"/>
  <c r="F65" i="1"/>
  <c r="V65" i="1" s="1"/>
  <c r="F53" i="1"/>
  <c r="V53" i="1" s="1"/>
  <c r="F63" i="1"/>
  <c r="V63" i="1" s="1"/>
  <c r="F62" i="1"/>
  <c r="V62" i="1" s="1"/>
  <c r="F61" i="1"/>
  <c r="V61" i="1" s="1"/>
  <c r="AJ24" i="1"/>
  <c r="AJ16" i="1"/>
  <c r="AJ22" i="1"/>
  <c r="AJ13" i="1"/>
  <c r="AJ12" i="1"/>
  <c r="AJ26" i="1"/>
  <c r="AJ23" i="1"/>
  <c r="AJ15" i="1"/>
  <c r="AJ14" i="1"/>
  <c r="AJ20" i="1"/>
  <c r="AJ19" i="1"/>
  <c r="AJ17" i="1"/>
  <c r="AJ21" i="1"/>
  <c r="AJ18" i="1"/>
  <c r="AJ11" i="1"/>
  <c r="AJ25" i="1"/>
  <c r="F20" i="1"/>
  <c r="V20" i="1" s="1"/>
  <c r="F12" i="1"/>
  <c r="V12" i="1" s="1"/>
  <c r="F19" i="1"/>
  <c r="V19" i="1" s="1"/>
  <c r="F26" i="1"/>
  <c r="V26" i="1" s="1"/>
  <c r="F25" i="1"/>
  <c r="F24" i="1"/>
  <c r="V24" i="1" s="1"/>
  <c r="F15" i="1"/>
  <c r="V15" i="1" s="1"/>
  <c r="F21" i="1"/>
  <c r="V21" i="1" s="1"/>
  <c r="F11" i="1"/>
  <c r="V11" i="1" s="1"/>
  <c r="F18" i="1"/>
  <c r="V18" i="1" s="1"/>
  <c r="F16" i="1"/>
  <c r="F23" i="1"/>
  <c r="V23" i="1" s="1"/>
  <c r="F17" i="1"/>
  <c r="V17" i="1" s="1"/>
  <c r="F22" i="1"/>
  <c r="V22" i="1" s="1"/>
  <c r="F14" i="1"/>
  <c r="V14" i="1" s="1"/>
  <c r="F13" i="1"/>
  <c r="V13" i="1" s="1"/>
  <c r="C42" i="6"/>
  <c r="G73" i="6"/>
  <c r="H73" i="6"/>
  <c r="D107" i="6"/>
  <c r="D102" i="6"/>
  <c r="L107" i="6"/>
  <c r="L102" i="6"/>
  <c r="I102" i="6"/>
  <c r="N118" i="6"/>
  <c r="N120" i="6"/>
  <c r="N122" i="6"/>
  <c r="N124" i="6"/>
  <c r="N126" i="6"/>
  <c r="N128" i="6"/>
  <c r="E102" i="6"/>
  <c r="M102" i="6"/>
  <c r="N116" i="6"/>
  <c r="I107" i="6"/>
  <c r="I73" i="6"/>
  <c r="N114" i="6"/>
  <c r="N113" i="6"/>
  <c r="N115" i="6"/>
  <c r="N117" i="6"/>
  <c r="N119" i="6"/>
  <c r="N121" i="6"/>
  <c r="N123" i="6"/>
  <c r="N125" i="6"/>
  <c r="N127" i="6"/>
  <c r="E73" i="6"/>
  <c r="F107" i="6"/>
  <c r="F102" i="6"/>
  <c r="C107" i="6"/>
  <c r="C102" i="6"/>
  <c r="K107" i="6"/>
  <c r="K102" i="6"/>
  <c r="M73" i="6"/>
  <c r="C73" i="6"/>
  <c r="K73" i="6"/>
  <c r="G78" i="6"/>
  <c r="D73" i="6"/>
  <c r="L73" i="6"/>
  <c r="H78" i="6"/>
  <c r="N32" i="6"/>
  <c r="N33" i="6" s="1"/>
  <c r="F73" i="6"/>
  <c r="B78" i="6"/>
  <c r="J78" i="6"/>
  <c r="F42" i="6" l="1"/>
  <c r="F43" i="6" s="1"/>
  <c r="G42" i="6"/>
  <c r="G43" i="6" s="1"/>
  <c r="J42" i="6"/>
  <c r="J43" i="6" s="1"/>
  <c r="H231" i="1"/>
  <c r="AL231" i="1" s="1"/>
  <c r="H467" i="1"/>
  <c r="AL467" i="1" s="1"/>
  <c r="H190" i="1"/>
  <c r="AL190" i="1" s="1"/>
  <c r="N41" i="6"/>
  <c r="H30" i="1"/>
  <c r="AL30" i="1" s="1"/>
  <c r="H426" i="1"/>
  <c r="AL426" i="1" s="1"/>
  <c r="D44" i="6"/>
  <c r="AZ265" i="1"/>
  <c r="BD265" i="1"/>
  <c r="BF265" i="1" s="1"/>
  <c r="BD303" i="1"/>
  <c r="BF303" i="1" s="1"/>
  <c r="AZ303" i="1"/>
  <c r="BD291" i="1"/>
  <c r="BF291" i="1" s="1"/>
  <c r="AZ291" i="1"/>
  <c r="V225" i="1"/>
  <c r="Z225" i="1"/>
  <c r="V217" i="1"/>
  <c r="Z217" i="1"/>
  <c r="BD213" i="1"/>
  <c r="BF213" i="1" s="1"/>
  <c r="AZ213" i="1"/>
  <c r="BD226" i="1"/>
  <c r="BF226" i="1" s="1"/>
  <c r="AZ226" i="1"/>
  <c r="BD334" i="1"/>
  <c r="BF334" i="1" s="1"/>
  <c r="AZ334" i="1"/>
  <c r="AZ337" i="1"/>
  <c r="BD337" i="1"/>
  <c r="BF337" i="1" s="1"/>
  <c r="BD261" i="1"/>
  <c r="BF261" i="1" s="1"/>
  <c r="AZ261" i="1"/>
  <c r="BD254" i="1"/>
  <c r="BF254" i="1" s="1"/>
  <c r="AZ254" i="1"/>
  <c r="E42" i="6"/>
  <c r="E44" i="6"/>
  <c r="BD304" i="1"/>
  <c r="BF304" i="1" s="1"/>
  <c r="AZ304" i="1"/>
  <c r="BD299" i="1"/>
  <c r="BF299" i="1" s="1"/>
  <c r="AZ299" i="1"/>
  <c r="V227" i="1"/>
  <c r="Z227" i="1"/>
  <c r="V218" i="1"/>
  <c r="Z218" i="1"/>
  <c r="BD222" i="1"/>
  <c r="BF222" i="1" s="1"/>
  <c r="AZ222" i="1"/>
  <c r="BD219" i="1"/>
  <c r="BF219" i="1" s="1"/>
  <c r="AZ219" i="1"/>
  <c r="AZ342" i="1"/>
  <c r="BD342" i="1"/>
  <c r="BF342" i="1" s="1"/>
  <c r="AZ330" i="1"/>
  <c r="BD330" i="1"/>
  <c r="BF330" i="1" s="1"/>
  <c r="BD255" i="1"/>
  <c r="BF255" i="1" s="1"/>
  <c r="AZ255" i="1"/>
  <c r="AZ258" i="1"/>
  <c r="BD258" i="1"/>
  <c r="BF258" i="1" s="1"/>
  <c r="V221" i="1"/>
  <c r="Z221" i="1"/>
  <c r="BD341" i="1"/>
  <c r="BF341" i="1" s="1"/>
  <c r="AZ341" i="1"/>
  <c r="BD294" i="1"/>
  <c r="BF294" i="1" s="1"/>
  <c r="AZ294" i="1"/>
  <c r="BD292" i="1"/>
  <c r="BF292" i="1" s="1"/>
  <c r="AZ292" i="1"/>
  <c r="V220" i="1"/>
  <c r="Z220" i="1"/>
  <c r="V212" i="1"/>
  <c r="Z212" i="1"/>
  <c r="BD215" i="1"/>
  <c r="BF215" i="1" s="1"/>
  <c r="AZ215" i="1"/>
  <c r="BD227" i="1"/>
  <c r="BF227" i="1" s="1"/>
  <c r="AZ227" i="1"/>
  <c r="AZ335" i="1"/>
  <c r="BD335" i="1"/>
  <c r="BF335" i="1" s="1"/>
  <c r="BD338" i="1"/>
  <c r="BF338" i="1" s="1"/>
  <c r="AZ338" i="1"/>
  <c r="AZ263" i="1"/>
  <c r="BD263" i="1"/>
  <c r="BF263" i="1" s="1"/>
  <c r="BD266" i="1"/>
  <c r="BF266" i="1" s="1"/>
  <c r="AZ266" i="1"/>
  <c r="AZ298" i="1"/>
  <c r="BD298" i="1"/>
  <c r="BD297" i="1"/>
  <c r="BF297" i="1" s="1"/>
  <c r="AZ297" i="1"/>
  <c r="BD300" i="1"/>
  <c r="BF300" i="1" s="1"/>
  <c r="AZ300" i="1"/>
  <c r="V213" i="1"/>
  <c r="Z213" i="1"/>
  <c r="V214" i="1"/>
  <c r="Z214" i="1"/>
  <c r="BD216" i="1"/>
  <c r="BF216" i="1" s="1"/>
  <c r="AZ216" i="1"/>
  <c r="BD214" i="1"/>
  <c r="BF214" i="1" s="1"/>
  <c r="AZ214" i="1"/>
  <c r="AZ343" i="1"/>
  <c r="BD343" i="1"/>
  <c r="BF343" i="1" s="1"/>
  <c r="BD331" i="1"/>
  <c r="BF331" i="1" s="1"/>
  <c r="AZ331" i="1"/>
  <c r="BD256" i="1"/>
  <c r="BF256" i="1" s="1"/>
  <c r="AZ256" i="1"/>
  <c r="BD260" i="1"/>
  <c r="BF260" i="1" s="1"/>
  <c r="AZ260" i="1"/>
  <c r="V216" i="1"/>
  <c r="Z216" i="1"/>
  <c r="AZ218" i="1"/>
  <c r="BD218" i="1"/>
  <c r="BF218" i="1" s="1"/>
  <c r="BD253" i="1"/>
  <c r="BF253" i="1" s="1"/>
  <c r="AZ253" i="1"/>
  <c r="BD305" i="1"/>
  <c r="BF305" i="1" s="1"/>
  <c r="AZ305" i="1"/>
  <c r="BD302" i="1"/>
  <c r="BF302" i="1" s="1"/>
  <c r="AZ302" i="1"/>
  <c r="V224" i="1"/>
  <c r="Z224" i="1"/>
  <c r="V222" i="1"/>
  <c r="Z222" i="1"/>
  <c r="BD224" i="1"/>
  <c r="BF224" i="1" s="1"/>
  <c r="AZ224" i="1"/>
  <c r="BD223" i="1"/>
  <c r="BF223" i="1" s="1"/>
  <c r="AZ223" i="1"/>
  <c r="BD333" i="1"/>
  <c r="BF333" i="1" s="1"/>
  <c r="AZ333" i="1"/>
  <c r="BD339" i="1"/>
  <c r="BF339" i="1" s="1"/>
  <c r="AZ339" i="1"/>
  <c r="BD264" i="1"/>
  <c r="BF264" i="1" s="1"/>
  <c r="AZ264" i="1"/>
  <c r="BD262" i="1"/>
  <c r="BF262" i="1" s="1"/>
  <c r="AZ262" i="1"/>
  <c r="BD295" i="1"/>
  <c r="BF295" i="1" s="1"/>
  <c r="AZ295" i="1"/>
  <c r="V299" i="1"/>
  <c r="Z299" i="1"/>
  <c r="AZ296" i="1"/>
  <c r="BD296" i="1"/>
  <c r="BF296" i="1" s="1"/>
  <c r="BD293" i="1"/>
  <c r="BF293" i="1" s="1"/>
  <c r="AZ293" i="1"/>
  <c r="V226" i="1"/>
  <c r="Z226" i="1"/>
  <c r="V215" i="1"/>
  <c r="Z215" i="1"/>
  <c r="BD217" i="1"/>
  <c r="BF217" i="1" s="1"/>
  <c r="AZ217" i="1"/>
  <c r="BD212" i="1"/>
  <c r="AJ230" i="1"/>
  <c r="AZ212" i="1"/>
  <c r="BD336" i="1"/>
  <c r="BF336" i="1" s="1"/>
  <c r="AZ336" i="1"/>
  <c r="BD332" i="1"/>
  <c r="BF332" i="1" s="1"/>
  <c r="AZ332" i="1"/>
  <c r="BD252" i="1"/>
  <c r="BF252" i="1" s="1"/>
  <c r="AZ252" i="1"/>
  <c r="BD251" i="1"/>
  <c r="AJ269" i="1"/>
  <c r="AZ251" i="1"/>
  <c r="BD221" i="1"/>
  <c r="BF221" i="1" s="1"/>
  <c r="AZ221" i="1"/>
  <c r="AZ329" i="1"/>
  <c r="AJ347" i="1"/>
  <c r="BD329" i="1"/>
  <c r="BD290" i="1"/>
  <c r="BF290" i="1" s="1"/>
  <c r="AJ308" i="1"/>
  <c r="AZ290" i="1"/>
  <c r="BD301" i="1"/>
  <c r="BF301" i="1" s="1"/>
  <c r="AZ301" i="1"/>
  <c r="Z219" i="1"/>
  <c r="V219" i="1"/>
  <c r="V223" i="1"/>
  <c r="Z223" i="1"/>
  <c r="BD225" i="1"/>
  <c r="BF225" i="1" s="1"/>
  <c r="AZ225" i="1"/>
  <c r="BD220" i="1"/>
  <c r="BF220" i="1" s="1"/>
  <c r="AZ220" i="1"/>
  <c r="V340" i="1"/>
  <c r="Z340" i="1"/>
  <c r="BD344" i="1"/>
  <c r="BF344" i="1" s="1"/>
  <c r="AZ344" i="1"/>
  <c r="BD340" i="1"/>
  <c r="BF340" i="1" s="1"/>
  <c r="AZ340" i="1"/>
  <c r="BD257" i="1"/>
  <c r="BF257" i="1" s="1"/>
  <c r="AZ257" i="1"/>
  <c r="BD259" i="1"/>
  <c r="BF259" i="1" s="1"/>
  <c r="AZ259" i="1"/>
  <c r="V463" i="1"/>
  <c r="Z463" i="1"/>
  <c r="V456" i="1"/>
  <c r="Z456" i="1"/>
  <c r="BD448" i="1"/>
  <c r="AZ448" i="1"/>
  <c r="AJ466" i="1"/>
  <c r="AZ452" i="1"/>
  <c r="BD452" i="1"/>
  <c r="BF452" i="1" s="1"/>
  <c r="V453" i="1"/>
  <c r="Z453" i="1"/>
  <c r="V457" i="1"/>
  <c r="Z457" i="1"/>
  <c r="BD456" i="1"/>
  <c r="BF456" i="1" s="1"/>
  <c r="AZ456" i="1"/>
  <c r="BD460" i="1"/>
  <c r="BF460" i="1" s="1"/>
  <c r="AZ460" i="1"/>
  <c r="V454" i="1"/>
  <c r="Z454" i="1"/>
  <c r="V450" i="1"/>
  <c r="Z450" i="1"/>
  <c r="AZ449" i="1"/>
  <c r="BD449" i="1"/>
  <c r="BF449" i="1" s="1"/>
  <c r="BD453" i="1"/>
  <c r="BF453" i="1" s="1"/>
  <c r="AZ453" i="1"/>
  <c r="V455" i="1"/>
  <c r="Z455" i="1"/>
  <c r="V458" i="1"/>
  <c r="Z458" i="1"/>
  <c r="BD457" i="1"/>
  <c r="BF457" i="1" s="1"/>
  <c r="AZ457" i="1"/>
  <c r="AZ461" i="1"/>
  <c r="BD461" i="1"/>
  <c r="BF461" i="1" s="1"/>
  <c r="V448" i="1"/>
  <c r="Z448" i="1"/>
  <c r="V451" i="1"/>
  <c r="Z451" i="1"/>
  <c r="BD450" i="1"/>
  <c r="BF450" i="1" s="1"/>
  <c r="AZ450" i="1"/>
  <c r="AZ454" i="1"/>
  <c r="BD454" i="1"/>
  <c r="BF454" i="1" s="1"/>
  <c r="V449" i="1"/>
  <c r="Z449" i="1"/>
  <c r="V452" i="1"/>
  <c r="Z452" i="1"/>
  <c r="BD458" i="1"/>
  <c r="BF458" i="1" s="1"/>
  <c r="AZ458" i="1"/>
  <c r="AZ462" i="1"/>
  <c r="BD462" i="1"/>
  <c r="BF462" i="1" s="1"/>
  <c r="V459" i="1"/>
  <c r="Z459" i="1"/>
  <c r="V460" i="1"/>
  <c r="Z460" i="1"/>
  <c r="BD451" i="1"/>
  <c r="BF451" i="1" s="1"/>
  <c r="AZ451" i="1"/>
  <c r="BD455" i="1"/>
  <c r="BF455" i="1" s="1"/>
  <c r="AZ455" i="1"/>
  <c r="V461" i="1"/>
  <c r="Z461" i="1"/>
  <c r="V462" i="1"/>
  <c r="Z462" i="1"/>
  <c r="AZ459" i="1"/>
  <c r="BD459" i="1"/>
  <c r="BF459" i="1" s="1"/>
  <c r="AZ463" i="1"/>
  <c r="BD463" i="1"/>
  <c r="BF463" i="1" s="1"/>
  <c r="V422" i="1"/>
  <c r="Z422" i="1"/>
  <c r="V419" i="1"/>
  <c r="Z419" i="1"/>
  <c r="BD411" i="1"/>
  <c r="BF411" i="1" s="1"/>
  <c r="AZ411" i="1"/>
  <c r="AZ407" i="1"/>
  <c r="BD407" i="1"/>
  <c r="AJ425" i="1"/>
  <c r="V421" i="1"/>
  <c r="Z421" i="1"/>
  <c r="V413" i="1"/>
  <c r="Z413" i="1"/>
  <c r="BD419" i="1"/>
  <c r="BF419" i="1" s="1"/>
  <c r="AZ419" i="1"/>
  <c r="BD415" i="1"/>
  <c r="BF415" i="1" s="1"/>
  <c r="AZ415" i="1"/>
  <c r="V415" i="1"/>
  <c r="Z415" i="1"/>
  <c r="V417" i="1"/>
  <c r="Z417" i="1"/>
  <c r="AZ412" i="1"/>
  <c r="BD412" i="1"/>
  <c r="BF412" i="1" s="1"/>
  <c r="AZ408" i="1"/>
  <c r="BD408" i="1"/>
  <c r="BF408" i="1" s="1"/>
  <c r="V416" i="1"/>
  <c r="Z416" i="1"/>
  <c r="V410" i="1"/>
  <c r="Z410" i="1"/>
  <c r="AZ420" i="1"/>
  <c r="BD420" i="1"/>
  <c r="BF420" i="1" s="1"/>
  <c r="AZ416" i="1"/>
  <c r="BD416" i="1"/>
  <c r="BF416" i="1" s="1"/>
  <c r="V418" i="1"/>
  <c r="Z418" i="1"/>
  <c r="V411" i="1"/>
  <c r="Z411" i="1"/>
  <c r="BD413" i="1"/>
  <c r="BF413" i="1" s="1"/>
  <c r="AZ413" i="1"/>
  <c r="AZ409" i="1"/>
  <c r="BD409" i="1"/>
  <c r="BF409" i="1" s="1"/>
  <c r="V407" i="1"/>
  <c r="Z407" i="1"/>
  <c r="V412" i="1"/>
  <c r="Z412" i="1"/>
  <c r="BD421" i="1"/>
  <c r="BF421" i="1" s="1"/>
  <c r="AZ421" i="1"/>
  <c r="BD417" i="1"/>
  <c r="BF417" i="1" s="1"/>
  <c r="AZ417" i="1"/>
  <c r="V408" i="1"/>
  <c r="Z408" i="1"/>
  <c r="V420" i="1"/>
  <c r="Z420" i="1"/>
  <c r="BD414" i="1"/>
  <c r="BF414" i="1" s="1"/>
  <c r="AZ414" i="1"/>
  <c r="BD410" i="1"/>
  <c r="BF410" i="1" s="1"/>
  <c r="AZ410" i="1"/>
  <c r="V414" i="1"/>
  <c r="Z414" i="1"/>
  <c r="V409" i="1"/>
  <c r="Z409" i="1"/>
  <c r="BD422" i="1"/>
  <c r="BF422" i="1" s="1"/>
  <c r="AZ422" i="1"/>
  <c r="BD418" i="1"/>
  <c r="BF418" i="1" s="1"/>
  <c r="AZ418" i="1"/>
  <c r="V377" i="1"/>
  <c r="Z377" i="1"/>
  <c r="Z369" i="1"/>
  <c r="V369" i="1"/>
  <c r="BD379" i="1"/>
  <c r="BF379" i="1" s="1"/>
  <c r="AZ379" i="1"/>
  <c r="BD383" i="1"/>
  <c r="BF383" i="1" s="1"/>
  <c r="AZ383" i="1"/>
  <c r="V370" i="1"/>
  <c r="Z370" i="1"/>
  <c r="V379" i="1"/>
  <c r="Z379" i="1"/>
  <c r="AZ372" i="1"/>
  <c r="BD372" i="1"/>
  <c r="BD368" i="1"/>
  <c r="AJ386" i="1"/>
  <c r="AZ368" i="1"/>
  <c r="V380" i="1"/>
  <c r="Z380" i="1"/>
  <c r="V372" i="1"/>
  <c r="Z372" i="1"/>
  <c r="AZ380" i="1"/>
  <c r="BD380" i="1"/>
  <c r="BF380" i="1" s="1"/>
  <c r="BD376" i="1"/>
  <c r="BF376" i="1" s="1"/>
  <c r="AZ376" i="1"/>
  <c r="V368" i="1"/>
  <c r="Z368" i="1"/>
  <c r="V373" i="1"/>
  <c r="Z373" i="1"/>
  <c r="BD373" i="1"/>
  <c r="BF373" i="1" s="1"/>
  <c r="AZ373" i="1"/>
  <c r="AZ369" i="1"/>
  <c r="BD369" i="1"/>
  <c r="BF369" i="1" s="1"/>
  <c r="Z378" i="1"/>
  <c r="V378" i="1"/>
  <c r="V374" i="1"/>
  <c r="Z374" i="1"/>
  <c r="BD381" i="1"/>
  <c r="BF381" i="1" s="1"/>
  <c r="AZ381" i="1"/>
  <c r="AZ377" i="1"/>
  <c r="BD377" i="1"/>
  <c r="BF377" i="1" s="1"/>
  <c r="V371" i="1"/>
  <c r="Z371" i="1"/>
  <c r="V382" i="1"/>
  <c r="Z382" i="1"/>
  <c r="AZ374" i="1"/>
  <c r="BD374" i="1"/>
  <c r="BF374" i="1" s="1"/>
  <c r="BD370" i="1"/>
  <c r="BF370" i="1" s="1"/>
  <c r="AZ370" i="1"/>
  <c r="Z375" i="1"/>
  <c r="V375" i="1"/>
  <c r="V381" i="1"/>
  <c r="Z381" i="1"/>
  <c r="BD382" i="1"/>
  <c r="BF382" i="1" s="1"/>
  <c r="AZ382" i="1"/>
  <c r="BD378" i="1"/>
  <c r="BF378" i="1" s="1"/>
  <c r="AZ378" i="1"/>
  <c r="V376" i="1"/>
  <c r="Z376" i="1"/>
  <c r="V383" i="1"/>
  <c r="Z383" i="1"/>
  <c r="BD371" i="1"/>
  <c r="BF371" i="1" s="1"/>
  <c r="AZ371" i="1"/>
  <c r="BD375" i="1"/>
  <c r="BF375" i="1" s="1"/>
  <c r="AZ375" i="1"/>
  <c r="Z174" i="1"/>
  <c r="V174" i="1"/>
  <c r="Z175" i="1"/>
  <c r="V175" i="1"/>
  <c r="BD178" i="1"/>
  <c r="BF178" i="1" s="1"/>
  <c r="AZ178" i="1"/>
  <c r="BD174" i="1"/>
  <c r="BF174" i="1" s="1"/>
  <c r="AZ174" i="1"/>
  <c r="BD186" i="1"/>
  <c r="BF186" i="1" s="1"/>
  <c r="AZ186" i="1"/>
  <c r="BD182" i="1"/>
  <c r="BF182" i="1" s="1"/>
  <c r="AZ182" i="1"/>
  <c r="BD171" i="1"/>
  <c r="AZ171" i="1"/>
  <c r="AJ189" i="1"/>
  <c r="BD175" i="1"/>
  <c r="BF175" i="1" s="1"/>
  <c r="AZ175" i="1"/>
  <c r="Z171" i="1"/>
  <c r="V171" i="1"/>
  <c r="Z173" i="1"/>
  <c r="V173" i="1"/>
  <c r="Z180" i="1"/>
  <c r="V180" i="1"/>
  <c r="Z184" i="1"/>
  <c r="V184" i="1"/>
  <c r="BD179" i="1"/>
  <c r="BF179" i="1" s="1"/>
  <c r="AZ179" i="1"/>
  <c r="BD183" i="1"/>
  <c r="BF183" i="1" s="1"/>
  <c r="AZ183" i="1"/>
  <c r="Z181" i="1"/>
  <c r="V181" i="1"/>
  <c r="Z185" i="1"/>
  <c r="V185" i="1"/>
  <c r="BD172" i="1"/>
  <c r="BF172" i="1" s="1"/>
  <c r="AZ172" i="1"/>
  <c r="BD176" i="1"/>
  <c r="BF176" i="1" s="1"/>
  <c r="AZ176" i="1"/>
  <c r="Z182" i="1"/>
  <c r="V182" i="1"/>
  <c r="Z178" i="1"/>
  <c r="V178" i="1"/>
  <c r="BD180" i="1"/>
  <c r="BF180" i="1" s="1"/>
  <c r="AZ180" i="1"/>
  <c r="BD184" i="1"/>
  <c r="BF184" i="1" s="1"/>
  <c r="AZ184" i="1"/>
  <c r="Z176" i="1"/>
  <c r="V176" i="1"/>
  <c r="Z186" i="1"/>
  <c r="V186" i="1"/>
  <c r="BD173" i="1"/>
  <c r="BF173" i="1" s="1"/>
  <c r="AZ173" i="1"/>
  <c r="BD177" i="1"/>
  <c r="BF177" i="1" s="1"/>
  <c r="AZ177" i="1"/>
  <c r="Z177" i="1"/>
  <c r="V177" i="1"/>
  <c r="Z183" i="1"/>
  <c r="V183" i="1"/>
  <c r="Z172" i="1"/>
  <c r="V172" i="1"/>
  <c r="Z179" i="1"/>
  <c r="V179" i="1"/>
  <c r="AZ181" i="1"/>
  <c r="BD181" i="1"/>
  <c r="BF181" i="1" s="1"/>
  <c r="AZ185" i="1"/>
  <c r="BD185" i="1"/>
  <c r="BF185" i="1" s="1"/>
  <c r="Z132" i="1"/>
  <c r="V132" i="1"/>
  <c r="Z138" i="1"/>
  <c r="V138" i="1"/>
  <c r="BD134" i="1"/>
  <c r="BF134" i="1" s="1"/>
  <c r="AZ134" i="1"/>
  <c r="BD145" i="1"/>
  <c r="BF145" i="1" s="1"/>
  <c r="AZ145" i="1"/>
  <c r="BD133" i="1"/>
  <c r="BF133" i="1" s="1"/>
  <c r="AZ133" i="1"/>
  <c r="Z146" i="1"/>
  <c r="V146" i="1"/>
  <c r="Z142" i="1"/>
  <c r="V142" i="1"/>
  <c r="Z134" i="1"/>
  <c r="V134" i="1"/>
  <c r="BD141" i="1"/>
  <c r="BF141" i="1" s="1"/>
  <c r="AZ141" i="1"/>
  <c r="BD138" i="1"/>
  <c r="BF138" i="1" s="1"/>
  <c r="AZ138" i="1"/>
  <c r="BD142" i="1"/>
  <c r="BF142" i="1" s="1"/>
  <c r="AZ142" i="1"/>
  <c r="Z135" i="1"/>
  <c r="V135" i="1"/>
  <c r="Z136" i="1"/>
  <c r="V136" i="1"/>
  <c r="BD135" i="1"/>
  <c r="BF135" i="1" s="1"/>
  <c r="AZ135" i="1"/>
  <c r="BD146" i="1"/>
  <c r="BF146" i="1" s="1"/>
  <c r="AZ146" i="1"/>
  <c r="Z141" i="1"/>
  <c r="V141" i="1"/>
  <c r="Z143" i="1"/>
  <c r="V143" i="1"/>
  <c r="Z145" i="1"/>
  <c r="V145" i="1"/>
  <c r="BD143" i="1"/>
  <c r="BF143" i="1" s="1"/>
  <c r="AZ143" i="1"/>
  <c r="BD131" i="1"/>
  <c r="AJ149" i="1"/>
  <c r="AZ131" i="1"/>
  <c r="BD136" i="1"/>
  <c r="BF136" i="1" s="1"/>
  <c r="AZ136" i="1"/>
  <c r="Z133" i="1"/>
  <c r="V133" i="1"/>
  <c r="Z131" i="1"/>
  <c r="V131" i="1"/>
  <c r="AZ139" i="1"/>
  <c r="BD139" i="1"/>
  <c r="BF139" i="1" s="1"/>
  <c r="Z144" i="1"/>
  <c r="V144" i="1"/>
  <c r="Z139" i="1"/>
  <c r="V139" i="1"/>
  <c r="BD144" i="1"/>
  <c r="BF144" i="1" s="1"/>
  <c r="AZ144" i="1"/>
  <c r="BD132" i="1"/>
  <c r="BF132" i="1" s="1"/>
  <c r="AZ132" i="1"/>
  <c r="Z140" i="1"/>
  <c r="V140" i="1"/>
  <c r="Z137" i="1"/>
  <c r="V137" i="1"/>
  <c r="BD137" i="1"/>
  <c r="BF137" i="1" s="1"/>
  <c r="AZ137" i="1"/>
  <c r="BD140" i="1"/>
  <c r="BF140" i="1" s="1"/>
  <c r="AZ140" i="1"/>
  <c r="AZ102" i="1"/>
  <c r="BD102" i="1"/>
  <c r="BF102" i="1" s="1"/>
  <c r="V104" i="1"/>
  <c r="Z104" i="1"/>
  <c r="BD98" i="1"/>
  <c r="BF98" i="1" s="1"/>
  <c r="AZ98" i="1"/>
  <c r="Z103" i="1"/>
  <c r="V103" i="1"/>
  <c r="V102" i="1"/>
  <c r="Z102" i="1"/>
  <c r="V93" i="1"/>
  <c r="Z93" i="1"/>
  <c r="V94" i="1"/>
  <c r="Z94" i="1"/>
  <c r="V91" i="1"/>
  <c r="Z91" i="1"/>
  <c r="BD97" i="1"/>
  <c r="BF97" i="1" s="1"/>
  <c r="AZ97" i="1"/>
  <c r="BD95" i="1"/>
  <c r="BF95" i="1" s="1"/>
  <c r="AZ95" i="1"/>
  <c r="BD94" i="1"/>
  <c r="BF94" i="1" s="1"/>
  <c r="AZ94" i="1"/>
  <c r="BD103" i="1"/>
  <c r="BF103" i="1" s="1"/>
  <c r="AZ103" i="1"/>
  <c r="V98" i="1"/>
  <c r="Z98" i="1"/>
  <c r="Z92" i="1"/>
  <c r="V92" i="1"/>
  <c r="BD93" i="1"/>
  <c r="BF93" i="1" s="1"/>
  <c r="AZ93" i="1"/>
  <c r="BD91" i="1"/>
  <c r="AZ91" i="1"/>
  <c r="AJ109" i="1"/>
  <c r="AZ105" i="1"/>
  <c r="BD105" i="1"/>
  <c r="BF105" i="1" s="1"/>
  <c r="V97" i="1"/>
  <c r="Z97" i="1"/>
  <c r="BD92" i="1"/>
  <c r="BF92" i="1" s="1"/>
  <c r="AZ92" i="1"/>
  <c r="BD100" i="1"/>
  <c r="BF100" i="1" s="1"/>
  <c r="AZ100" i="1"/>
  <c r="V105" i="1"/>
  <c r="Z105" i="1"/>
  <c r="V100" i="1"/>
  <c r="Z100" i="1"/>
  <c r="BD101" i="1"/>
  <c r="BF101" i="1" s="1"/>
  <c r="AZ101" i="1"/>
  <c r="BD96" i="1"/>
  <c r="BF96" i="1" s="1"/>
  <c r="AZ96" i="1"/>
  <c r="BD99" i="1"/>
  <c r="BF99" i="1" s="1"/>
  <c r="AZ99" i="1"/>
  <c r="V106" i="1"/>
  <c r="Z106" i="1"/>
  <c r="V99" i="1"/>
  <c r="Z99" i="1"/>
  <c r="V96" i="1"/>
  <c r="Z96" i="1"/>
  <c r="V101" i="1"/>
  <c r="Z101" i="1"/>
  <c r="V95" i="1"/>
  <c r="Z95" i="1"/>
  <c r="BD106" i="1"/>
  <c r="BF106" i="1" s="1"/>
  <c r="AZ106" i="1"/>
  <c r="BD104" i="1"/>
  <c r="BF104" i="1" s="1"/>
  <c r="AZ104" i="1"/>
  <c r="BD59" i="1"/>
  <c r="BF59" i="1" s="1"/>
  <c r="AZ59" i="1"/>
  <c r="BD57" i="1"/>
  <c r="BF57" i="1" s="1"/>
  <c r="AZ57" i="1"/>
  <c r="BD64" i="1"/>
  <c r="BF64" i="1" s="1"/>
  <c r="AZ64" i="1"/>
  <c r="AZ52" i="1"/>
  <c r="BD52" i="1"/>
  <c r="BF52" i="1" s="1"/>
  <c r="BD55" i="1"/>
  <c r="BF55" i="1" s="1"/>
  <c r="AZ55" i="1"/>
  <c r="BD63" i="1"/>
  <c r="BF63" i="1" s="1"/>
  <c r="AZ63" i="1"/>
  <c r="AZ58" i="1"/>
  <c r="BD58" i="1"/>
  <c r="BF58" i="1" s="1"/>
  <c r="BD51" i="1"/>
  <c r="AJ69" i="1"/>
  <c r="AZ51" i="1"/>
  <c r="V57" i="1"/>
  <c r="Z57" i="1"/>
  <c r="AZ60" i="1"/>
  <c r="BD60" i="1"/>
  <c r="BF60" i="1" s="1"/>
  <c r="AZ65" i="1"/>
  <c r="BD65" i="1"/>
  <c r="BF65" i="1" s="1"/>
  <c r="BD53" i="1"/>
  <c r="AZ53" i="1"/>
  <c r="BD61" i="1"/>
  <c r="BF61" i="1" s="1"/>
  <c r="AZ61" i="1"/>
  <c r="AZ54" i="1"/>
  <c r="BD54" i="1"/>
  <c r="BF54" i="1" s="1"/>
  <c r="AZ62" i="1"/>
  <c r="BD62" i="1"/>
  <c r="BF62" i="1" s="1"/>
  <c r="AZ66" i="1"/>
  <c r="BD66" i="1"/>
  <c r="BF66" i="1" s="1"/>
  <c r="BD56" i="1"/>
  <c r="BF56" i="1" s="1"/>
  <c r="AZ56" i="1"/>
  <c r="AZ11" i="1"/>
  <c r="BD11" i="1"/>
  <c r="AJ29" i="1"/>
  <c r="BD23" i="1"/>
  <c r="BF23" i="1" s="1"/>
  <c r="AZ23" i="1"/>
  <c r="V25" i="1"/>
  <c r="Z25" i="1"/>
  <c r="BD21" i="1"/>
  <c r="BF21" i="1" s="1"/>
  <c r="AZ21" i="1"/>
  <c r="AZ12" i="1"/>
  <c r="BD12" i="1"/>
  <c r="BF12" i="1" s="1"/>
  <c r="BD17" i="1"/>
  <c r="BF17" i="1" s="1"/>
  <c r="AZ17" i="1"/>
  <c r="AZ13" i="1"/>
  <c r="BD13" i="1"/>
  <c r="BF13" i="1" s="1"/>
  <c r="V16" i="1"/>
  <c r="Z16" i="1"/>
  <c r="AZ19" i="1"/>
  <c r="BD19" i="1"/>
  <c r="BF19" i="1" s="1"/>
  <c r="BD22" i="1"/>
  <c r="BF22" i="1" s="1"/>
  <c r="AZ22" i="1"/>
  <c r="BD26" i="1"/>
  <c r="BF26" i="1" s="1"/>
  <c r="AZ26" i="1"/>
  <c r="BD14" i="1"/>
  <c r="BF14" i="1" s="1"/>
  <c r="AZ14" i="1"/>
  <c r="BD24" i="1"/>
  <c r="BF24" i="1" s="1"/>
  <c r="AZ24" i="1"/>
  <c r="BD18" i="1"/>
  <c r="BF18" i="1" s="1"/>
  <c r="AZ18" i="1"/>
  <c r="AZ20" i="1"/>
  <c r="BD20" i="1"/>
  <c r="BF20" i="1" s="1"/>
  <c r="BD16" i="1"/>
  <c r="BF16" i="1" s="1"/>
  <c r="AZ16" i="1"/>
  <c r="BD25" i="1"/>
  <c r="BF25" i="1" s="1"/>
  <c r="AZ25" i="1"/>
  <c r="BD15" i="1"/>
  <c r="BF15" i="1" s="1"/>
  <c r="AZ15" i="1"/>
  <c r="C43" i="6"/>
  <c r="G102" i="6"/>
  <c r="G107" i="6"/>
  <c r="O122" i="6"/>
  <c r="H102" i="6"/>
  <c r="H107" i="6"/>
  <c r="J102" i="6"/>
  <c r="J107" i="6"/>
  <c r="B102" i="6"/>
  <c r="B107" i="6"/>
  <c r="N42" i="6" l="1"/>
  <c r="H150" i="1"/>
  <c r="AL150" i="1" s="1"/>
  <c r="H110" i="1"/>
  <c r="AL110" i="1" s="1"/>
  <c r="AZ269" i="1"/>
  <c r="AZ308" i="1"/>
  <c r="BD308" i="1"/>
  <c r="BF298" i="1"/>
  <c r="BF308" i="1" s="1"/>
  <c r="E43" i="6"/>
  <c r="AZ230" i="1"/>
  <c r="BF251" i="1"/>
  <c r="BF269" i="1" s="1"/>
  <c r="BD269" i="1"/>
  <c r="BD347" i="1"/>
  <c r="BF329" i="1"/>
  <c r="BF347" i="1" s="1"/>
  <c r="BF212" i="1"/>
  <c r="BF230" i="1" s="1"/>
  <c r="BD230" i="1"/>
  <c r="AZ347" i="1"/>
  <c r="AZ466" i="1"/>
  <c r="BF448" i="1"/>
  <c r="BF466" i="1" s="1"/>
  <c r="BD466" i="1"/>
  <c r="BF407" i="1"/>
  <c r="BF425" i="1" s="1"/>
  <c r="BD425" i="1"/>
  <c r="AZ425" i="1"/>
  <c r="BF368" i="1"/>
  <c r="BD386" i="1"/>
  <c r="BF372" i="1"/>
  <c r="AZ386" i="1"/>
  <c r="AZ189" i="1"/>
  <c r="BF171" i="1"/>
  <c r="BF189" i="1" s="1"/>
  <c r="BD189" i="1"/>
  <c r="BF131" i="1"/>
  <c r="BF149" i="1" s="1"/>
  <c r="BD149" i="1"/>
  <c r="AZ149" i="1"/>
  <c r="BF91" i="1"/>
  <c r="BF109" i="1" s="1"/>
  <c r="BD109" i="1"/>
  <c r="AZ109" i="1"/>
  <c r="BF53" i="1"/>
  <c r="BF51" i="1"/>
  <c r="BF69" i="1" s="1"/>
  <c r="BD69" i="1"/>
  <c r="AZ69" i="1"/>
  <c r="BF11" i="1"/>
  <c r="BF29" i="1" s="1"/>
  <c r="BD29" i="1"/>
  <c r="AZ29" i="1"/>
  <c r="AJ71" i="1"/>
  <c r="K109" i="1"/>
  <c r="K69" i="1"/>
  <c r="K72" i="1" s="1"/>
  <c r="N43" i="6" l="1"/>
  <c r="BF386" i="1"/>
  <c r="K112" i="1"/>
  <c r="K113" i="1" s="1"/>
  <c r="K73" i="1"/>
  <c r="B470" i="1"/>
  <c r="B469" i="1"/>
  <c r="B429" i="1"/>
  <c r="B428" i="1"/>
  <c r="B390" i="1"/>
  <c r="B389" i="1"/>
  <c r="B351" i="1"/>
  <c r="B350" i="1"/>
  <c r="B312" i="1"/>
  <c r="B311" i="1"/>
  <c r="B273" i="1"/>
  <c r="B272" i="1"/>
  <c r="B234" i="1"/>
  <c r="B233" i="1"/>
  <c r="B193" i="1"/>
  <c r="B192" i="1"/>
  <c r="B153" i="1"/>
  <c r="B152" i="1"/>
  <c r="B113" i="1"/>
  <c r="B112" i="1"/>
  <c r="B73" i="1"/>
  <c r="B72" i="1"/>
  <c r="B33" i="1"/>
  <c r="B32" i="1"/>
  <c r="M466" i="1" l="1"/>
  <c r="M469" i="1" s="1"/>
  <c r="M470" i="1" s="1"/>
  <c r="L466" i="1"/>
  <c r="L469" i="1" s="1"/>
  <c r="L470" i="1" s="1"/>
  <c r="K466" i="1"/>
  <c r="K469" i="1" s="1"/>
  <c r="K470" i="1" s="1"/>
  <c r="J466" i="1"/>
  <c r="J469" i="1" s="1"/>
  <c r="J474" i="1" s="1"/>
  <c r="H466" i="1"/>
  <c r="G466" i="1"/>
  <c r="G469" i="1" s="1"/>
  <c r="F466" i="1"/>
  <c r="S172" i="10" s="1"/>
  <c r="B466" i="1"/>
  <c r="B468" i="1" s="1"/>
  <c r="C468" i="1" s="1"/>
  <c r="M425" i="1"/>
  <c r="M428" i="1" s="1"/>
  <c r="M429" i="1" s="1"/>
  <c r="L425" i="1"/>
  <c r="L428" i="1" s="1"/>
  <c r="L429" i="1" s="1"/>
  <c r="K425" i="1"/>
  <c r="K428" i="1" s="1"/>
  <c r="K429" i="1" s="1"/>
  <c r="J425" i="1"/>
  <c r="J428" i="1" s="1"/>
  <c r="J433" i="1" s="1"/>
  <c r="H425" i="1"/>
  <c r="G425" i="1"/>
  <c r="G428" i="1" s="1"/>
  <c r="F425" i="1"/>
  <c r="S157" i="10" s="1"/>
  <c r="B425" i="1"/>
  <c r="B427" i="1" s="1"/>
  <c r="C427" i="1" s="1"/>
  <c r="M386" i="1"/>
  <c r="M389" i="1" s="1"/>
  <c r="M390" i="1" s="1"/>
  <c r="L386" i="1"/>
  <c r="L389" i="1" s="1"/>
  <c r="L390" i="1" s="1"/>
  <c r="K386" i="1"/>
  <c r="K389" i="1" s="1"/>
  <c r="K390" i="1" s="1"/>
  <c r="J386" i="1"/>
  <c r="J389" i="1" s="1"/>
  <c r="J390" i="1" s="1"/>
  <c r="I386" i="1"/>
  <c r="I389" i="1" s="1"/>
  <c r="H386" i="1"/>
  <c r="G386" i="1"/>
  <c r="G389" i="1" s="1"/>
  <c r="F386" i="1"/>
  <c r="S142" i="10" s="1"/>
  <c r="B386" i="1"/>
  <c r="B388" i="1" s="1"/>
  <c r="C388" i="1" s="1"/>
  <c r="J347" i="1"/>
  <c r="J350" i="1" s="1"/>
  <c r="I347" i="1"/>
  <c r="I350" i="1" s="1"/>
  <c r="J355" i="1" s="1"/>
  <c r="H347" i="1"/>
  <c r="G347" i="1"/>
  <c r="G350" i="1" s="1"/>
  <c r="F347" i="1"/>
  <c r="S127" i="10" s="1"/>
  <c r="B347" i="1"/>
  <c r="B349" i="1" s="1"/>
  <c r="C349" i="1" s="1"/>
  <c r="Z346" i="1"/>
  <c r="Z345" i="1"/>
  <c r="Z344" i="1"/>
  <c r="Z343" i="1"/>
  <c r="Z342" i="1"/>
  <c r="Z341" i="1"/>
  <c r="Z339" i="1"/>
  <c r="Z338" i="1"/>
  <c r="Z337" i="1"/>
  <c r="Z336" i="1"/>
  <c r="Z335" i="1"/>
  <c r="Z334" i="1"/>
  <c r="Z333" i="1"/>
  <c r="Z332" i="1"/>
  <c r="Z331" i="1"/>
  <c r="Z330" i="1"/>
  <c r="Z329" i="1"/>
  <c r="Z328" i="1"/>
  <c r="Z327" i="1"/>
  <c r="Z326" i="1"/>
  <c r="Z325" i="1"/>
  <c r="J308" i="1"/>
  <c r="J311" i="1" s="1"/>
  <c r="I308" i="1"/>
  <c r="I311" i="1" s="1"/>
  <c r="H308" i="1"/>
  <c r="G308" i="1"/>
  <c r="G311" i="1" s="1"/>
  <c r="F308" i="1"/>
  <c r="S112" i="10" s="1"/>
  <c r="B308" i="1"/>
  <c r="B310" i="1" s="1"/>
  <c r="C310" i="1" s="1"/>
  <c r="Z307" i="1"/>
  <c r="Z306" i="1"/>
  <c r="Z305" i="1"/>
  <c r="Z304" i="1"/>
  <c r="Z303" i="1"/>
  <c r="Z302" i="1"/>
  <c r="Z301" i="1"/>
  <c r="Z300" i="1"/>
  <c r="Z298" i="1"/>
  <c r="Z297" i="1"/>
  <c r="Z296" i="1"/>
  <c r="Z295" i="1"/>
  <c r="Z294" i="1"/>
  <c r="Z293" i="1"/>
  <c r="Z292" i="1"/>
  <c r="Z291" i="1"/>
  <c r="Z290" i="1"/>
  <c r="Z289" i="1"/>
  <c r="Z288" i="1"/>
  <c r="Z286" i="1"/>
  <c r="Z284" i="1"/>
  <c r="J269" i="1"/>
  <c r="J272" i="1" s="1"/>
  <c r="I269" i="1"/>
  <c r="I272" i="1" s="1"/>
  <c r="H269" i="1"/>
  <c r="G269" i="1"/>
  <c r="G272" i="1" s="1"/>
  <c r="F269" i="1"/>
  <c r="S97" i="10" s="1"/>
  <c r="B269" i="1"/>
  <c r="B271" i="1" s="1"/>
  <c r="C271" i="1" s="1"/>
  <c r="Z268" i="1"/>
  <c r="Z267" i="1"/>
  <c r="Z266" i="1"/>
  <c r="Z265" i="1"/>
  <c r="Z264" i="1"/>
  <c r="Z263" i="1"/>
  <c r="Z262" i="1"/>
  <c r="Z261" i="1"/>
  <c r="Z260" i="1"/>
  <c r="Z259" i="1"/>
  <c r="Z258" i="1"/>
  <c r="Z257" i="1"/>
  <c r="Z256" i="1"/>
  <c r="Z255" i="1"/>
  <c r="Z254" i="1"/>
  <c r="Z253" i="1"/>
  <c r="Z252" i="1"/>
  <c r="Z251" i="1"/>
  <c r="Z250" i="1"/>
  <c r="Z249" i="1"/>
  <c r="Z248" i="1"/>
  <c r="Z247" i="1"/>
  <c r="Z246" i="1"/>
  <c r="Z245" i="1"/>
  <c r="J230" i="1"/>
  <c r="I230" i="1"/>
  <c r="I233" i="1" s="1"/>
  <c r="H230" i="1"/>
  <c r="H234" i="1" s="1"/>
  <c r="G230" i="1"/>
  <c r="G233" i="1" s="1"/>
  <c r="F230" i="1"/>
  <c r="S82" i="10" s="1"/>
  <c r="B230" i="1"/>
  <c r="B232" i="1" s="1"/>
  <c r="C232" i="1" s="1"/>
  <c r="D232" i="1" s="1"/>
  <c r="M189" i="1"/>
  <c r="M192" i="1" s="1"/>
  <c r="M193" i="1" s="1"/>
  <c r="L189" i="1"/>
  <c r="L192" i="1" s="1"/>
  <c r="L193" i="1" s="1"/>
  <c r="K189" i="1"/>
  <c r="K192" i="1" s="1"/>
  <c r="J189" i="1"/>
  <c r="J192" i="1" s="1"/>
  <c r="I189" i="1"/>
  <c r="I192" i="1" s="1"/>
  <c r="J197" i="1" s="1"/>
  <c r="H189" i="1"/>
  <c r="G189" i="1"/>
  <c r="F189" i="1"/>
  <c r="S67" i="10" s="1"/>
  <c r="B189" i="1"/>
  <c r="B191" i="1" s="1"/>
  <c r="C191" i="1" s="1"/>
  <c r="M149" i="1"/>
  <c r="M152" i="1" s="1"/>
  <c r="M153" i="1" s="1"/>
  <c r="L149" i="1"/>
  <c r="L152" i="1" s="1"/>
  <c r="L153" i="1" s="1"/>
  <c r="K149" i="1"/>
  <c r="K152" i="1" s="1"/>
  <c r="J149" i="1"/>
  <c r="J152" i="1" s="1"/>
  <c r="I149" i="1"/>
  <c r="I152" i="1" s="1"/>
  <c r="H149" i="1"/>
  <c r="G149" i="1"/>
  <c r="F149" i="1"/>
  <c r="S52" i="10" s="1"/>
  <c r="B149" i="1"/>
  <c r="B151" i="1" s="1"/>
  <c r="C151" i="1" s="1"/>
  <c r="N109" i="1"/>
  <c r="N112" i="1" s="1"/>
  <c r="N113" i="1" s="1"/>
  <c r="M109" i="1"/>
  <c r="M112" i="1" s="1"/>
  <c r="M113" i="1" s="1"/>
  <c r="L109" i="1"/>
  <c r="L112" i="1" s="1"/>
  <c r="L113" i="1" s="1"/>
  <c r="J109" i="1"/>
  <c r="I109" i="1"/>
  <c r="I112" i="1" s="1"/>
  <c r="H109" i="1"/>
  <c r="H113" i="1" s="1"/>
  <c r="G109" i="1"/>
  <c r="G112" i="1" s="1"/>
  <c r="F109" i="1"/>
  <c r="S37" i="10" s="1"/>
  <c r="B109" i="1"/>
  <c r="B111" i="1" s="1"/>
  <c r="C111" i="1" s="1"/>
  <c r="M69" i="1"/>
  <c r="M72" i="1" s="1"/>
  <c r="M73" i="1" s="1"/>
  <c r="L69" i="1"/>
  <c r="L72" i="1" s="1"/>
  <c r="L73" i="1" s="1"/>
  <c r="J69" i="1"/>
  <c r="J72" i="1" s="1"/>
  <c r="I69" i="1"/>
  <c r="I72" i="1" s="1"/>
  <c r="H69" i="1"/>
  <c r="G69" i="1"/>
  <c r="F69" i="1"/>
  <c r="B69" i="1"/>
  <c r="B71" i="1" s="1"/>
  <c r="C71" i="1" s="1"/>
  <c r="D76" i="1" s="1"/>
  <c r="D77" i="1" s="1"/>
  <c r="Z68" i="1"/>
  <c r="Z67" i="1"/>
  <c r="Z66" i="1"/>
  <c r="Z65" i="1"/>
  <c r="Z64" i="1"/>
  <c r="Z63" i="1"/>
  <c r="Z62" i="1"/>
  <c r="Z61" i="1"/>
  <c r="Z60" i="1"/>
  <c r="Z59" i="1"/>
  <c r="Z58" i="1"/>
  <c r="Z56" i="1"/>
  <c r="Z55" i="1"/>
  <c r="Z54" i="1"/>
  <c r="Z53" i="1"/>
  <c r="Z52" i="1"/>
  <c r="Z51" i="1"/>
  <c r="Z50" i="1"/>
  <c r="Z49" i="1"/>
  <c r="Z47" i="1"/>
  <c r="Z46" i="1"/>
  <c r="L29" i="1"/>
  <c r="L32" i="1" s="1"/>
  <c r="L33" i="1" s="1"/>
  <c r="K29" i="1"/>
  <c r="K32" i="1" s="1"/>
  <c r="K33" i="1" s="1"/>
  <c r="J29" i="1"/>
  <c r="J32" i="1" s="1"/>
  <c r="J33" i="1" s="1"/>
  <c r="I29" i="1"/>
  <c r="I32" i="1" s="1"/>
  <c r="H29" i="1"/>
  <c r="G29" i="1"/>
  <c r="G32" i="1" s="1"/>
  <c r="F29" i="1"/>
  <c r="B29" i="1"/>
  <c r="B31" i="1" s="1"/>
  <c r="C31" i="1" s="1"/>
  <c r="D36" i="1" s="1"/>
  <c r="D37" i="1" s="1"/>
  <c r="Z28" i="1"/>
  <c r="Z27" i="1"/>
  <c r="Z26" i="1"/>
  <c r="Z24" i="1"/>
  <c r="Z23" i="1"/>
  <c r="Z22" i="1"/>
  <c r="Z21" i="1"/>
  <c r="Z20" i="1"/>
  <c r="Z19" i="1"/>
  <c r="Z18" i="1"/>
  <c r="Z17" i="1"/>
  <c r="Z15" i="1"/>
  <c r="Z14" i="1"/>
  <c r="Z13" i="1"/>
  <c r="Z12" i="1"/>
  <c r="Z11" i="1"/>
  <c r="Z10" i="1"/>
  <c r="Z9" i="1"/>
  <c r="Z8" i="1"/>
  <c r="Z6" i="1"/>
  <c r="I33" i="1" l="1"/>
  <c r="J38" i="1" s="1"/>
  <c r="J37" i="1"/>
  <c r="I312" i="1"/>
  <c r="M394" i="1"/>
  <c r="J394" i="1"/>
  <c r="H495" i="1" s="1"/>
  <c r="G113" i="1"/>
  <c r="U34" i="10" s="1"/>
  <c r="S34" i="10"/>
  <c r="I351" i="1"/>
  <c r="J356" i="1" s="1"/>
  <c r="J77" i="1"/>
  <c r="B20" i="10" s="1"/>
  <c r="I20" i="10" s="1"/>
  <c r="J157" i="1"/>
  <c r="B50" i="10" s="1"/>
  <c r="I50" i="10" s="1"/>
  <c r="I273" i="1"/>
  <c r="J392" i="1"/>
  <c r="S139" i="10"/>
  <c r="G429" i="1"/>
  <c r="U154" i="10" s="1"/>
  <c r="J431" i="1"/>
  <c r="S154" i="10"/>
  <c r="J472" i="1"/>
  <c r="S169" i="10"/>
  <c r="G351" i="1"/>
  <c r="U124" i="10" s="1"/>
  <c r="J353" i="1"/>
  <c r="S124" i="10"/>
  <c r="J275" i="1"/>
  <c r="S94" i="10"/>
  <c r="G312" i="1"/>
  <c r="U109" i="10" s="1"/>
  <c r="J314" i="1"/>
  <c r="S109" i="10"/>
  <c r="S4" i="10"/>
  <c r="G234" i="1"/>
  <c r="U79" i="10" s="1"/>
  <c r="S79" i="10"/>
  <c r="U84" i="10"/>
  <c r="T84" i="10" s="1"/>
  <c r="U39" i="10"/>
  <c r="T39" i="10" s="1"/>
  <c r="S187" i="10"/>
  <c r="H312" i="1"/>
  <c r="S114" i="10"/>
  <c r="H273" i="1"/>
  <c r="S99" i="10"/>
  <c r="H351" i="1"/>
  <c r="S129" i="10"/>
  <c r="B270" i="1"/>
  <c r="E270" i="1" s="1"/>
  <c r="F28" i="8"/>
  <c r="J429" i="1"/>
  <c r="M433" i="1"/>
  <c r="J470" i="1"/>
  <c r="M474" i="1"/>
  <c r="M77" i="1"/>
  <c r="B309" i="1"/>
  <c r="E309" i="1" s="1"/>
  <c r="M157" i="1"/>
  <c r="M197" i="1"/>
  <c r="H429" i="1"/>
  <c r="F27" i="8"/>
  <c r="H390" i="1"/>
  <c r="F26" i="8"/>
  <c r="B231" i="1"/>
  <c r="E231" i="1" s="1"/>
  <c r="B110" i="1"/>
  <c r="B70" i="1"/>
  <c r="F19" i="8"/>
  <c r="F23" i="8"/>
  <c r="F24" i="8"/>
  <c r="F25" i="8"/>
  <c r="F22" i="8"/>
  <c r="B348" i="1"/>
  <c r="M355" i="1"/>
  <c r="J351" i="1"/>
  <c r="M316" i="1"/>
  <c r="J312" i="1"/>
  <c r="J273" i="1"/>
  <c r="M277" i="1"/>
  <c r="B170" i="10"/>
  <c r="I170" i="10" s="1"/>
  <c r="B155" i="10"/>
  <c r="I155" i="10" s="1"/>
  <c r="B387" i="1"/>
  <c r="B426" i="1"/>
  <c r="B467" i="1"/>
  <c r="J112" i="1"/>
  <c r="B30" i="1"/>
  <c r="E30" i="1" s="1"/>
  <c r="B65" i="10"/>
  <c r="I65" i="10" s="1"/>
  <c r="B150" i="1"/>
  <c r="J233" i="1"/>
  <c r="J236" i="1" s="1"/>
  <c r="B190" i="1"/>
  <c r="J73" i="1"/>
  <c r="G72" i="1"/>
  <c r="G273" i="1"/>
  <c r="G33" i="1"/>
  <c r="G390" i="1"/>
  <c r="H470" i="1"/>
  <c r="G470" i="1"/>
  <c r="U169" i="10" s="1"/>
  <c r="F475" i="1"/>
  <c r="I429" i="1"/>
  <c r="I470" i="1"/>
  <c r="J475" i="1" s="1"/>
  <c r="I390" i="1"/>
  <c r="J395" i="1" s="1"/>
  <c r="I234" i="1"/>
  <c r="I113" i="1"/>
  <c r="N37" i="1"/>
  <c r="N39" i="1" s="1"/>
  <c r="I73" i="1"/>
  <c r="AB365" i="1"/>
  <c r="AB373" i="1"/>
  <c r="AB381" i="1"/>
  <c r="AB446" i="1"/>
  <c r="AB454" i="1"/>
  <c r="F470" i="1"/>
  <c r="U172" i="10" s="1"/>
  <c r="G192" i="1"/>
  <c r="F273" i="1"/>
  <c r="U97" i="10" s="1"/>
  <c r="T97" i="10" s="1"/>
  <c r="H153" i="1"/>
  <c r="J153" i="1"/>
  <c r="F234" i="1"/>
  <c r="U82" i="10" s="1"/>
  <c r="T82" i="10" s="1"/>
  <c r="K153" i="1"/>
  <c r="K193" i="1"/>
  <c r="F390" i="1"/>
  <c r="U142" i="10" s="1"/>
  <c r="T142" i="10" s="1"/>
  <c r="F429" i="1"/>
  <c r="U157" i="10" s="1"/>
  <c r="T157" i="10" s="1"/>
  <c r="F312" i="1"/>
  <c r="U112" i="10" s="1"/>
  <c r="T112" i="10" s="1"/>
  <c r="G152" i="1"/>
  <c r="F351" i="1"/>
  <c r="AB92" i="1"/>
  <c r="AB96" i="1"/>
  <c r="AB100" i="1"/>
  <c r="AB98" i="1"/>
  <c r="AB285" i="1"/>
  <c r="AB343" i="1"/>
  <c r="AB225" i="1"/>
  <c r="AB108" i="1"/>
  <c r="AB129" i="1"/>
  <c r="AB145" i="1"/>
  <c r="AB340" i="1"/>
  <c r="AB47" i="1"/>
  <c r="AB405" i="1"/>
  <c r="AB413" i="1"/>
  <c r="AB372" i="1"/>
  <c r="AB458" i="1"/>
  <c r="AB209" i="1"/>
  <c r="AB217" i="1"/>
  <c r="AB247" i="1"/>
  <c r="AB255" i="1"/>
  <c r="AB403" i="1"/>
  <c r="AB445" i="1"/>
  <c r="AB461" i="1"/>
  <c r="AB293" i="1"/>
  <c r="AB301" i="1"/>
  <c r="AB305" i="1"/>
  <c r="F193" i="1"/>
  <c r="U67" i="10" s="1"/>
  <c r="T67" i="10" s="1"/>
  <c r="F153" i="1"/>
  <c r="U52" i="10" s="1"/>
  <c r="T52" i="10" s="1"/>
  <c r="AB55" i="1"/>
  <c r="AB95" i="1"/>
  <c r="AB99" i="1"/>
  <c r="AB7" i="1"/>
  <c r="AB15" i="1"/>
  <c r="AB23" i="1"/>
  <c r="AB223" i="1"/>
  <c r="AB288" i="1"/>
  <c r="AB292" i="1"/>
  <c r="AB296" i="1"/>
  <c r="AB300" i="1"/>
  <c r="AB304" i="1"/>
  <c r="AB420" i="1"/>
  <c r="AB14" i="1"/>
  <c r="AB9" i="1"/>
  <c r="AB107" i="1"/>
  <c r="AB137" i="1"/>
  <c r="AB286" i="1"/>
  <c r="AB406" i="1"/>
  <c r="AB6" i="1"/>
  <c r="AB297" i="1"/>
  <c r="AB333" i="1"/>
  <c r="AB63" i="1"/>
  <c r="AB48" i="1"/>
  <c r="AB56" i="1"/>
  <c r="AB127" i="1"/>
  <c r="AB135" i="1"/>
  <c r="AB143" i="1"/>
  <c r="AB185" i="1"/>
  <c r="AB215" i="1"/>
  <c r="AB324" i="1"/>
  <c r="AB328" i="1"/>
  <c r="AB332" i="1"/>
  <c r="AB341" i="1"/>
  <c r="AB88" i="1"/>
  <c r="AB106" i="1"/>
  <c r="AB208" i="1"/>
  <c r="AB216" i="1"/>
  <c r="AB224" i="1"/>
  <c r="AB294" i="1"/>
  <c r="AB302" i="1"/>
  <c r="AB380" i="1"/>
  <c r="AB404" i="1"/>
  <c r="AB453" i="1"/>
  <c r="AB462" i="1"/>
  <c r="AB146" i="1"/>
  <c r="AB246" i="1"/>
  <c r="AB262" i="1"/>
  <c r="AB412" i="1"/>
  <c r="AB22" i="1"/>
  <c r="AB26" i="1"/>
  <c r="AB52" i="1"/>
  <c r="AB105" i="1"/>
  <c r="AB245" i="1"/>
  <c r="AB249" i="1"/>
  <c r="AB253" i="1"/>
  <c r="AB257" i="1"/>
  <c r="AB261" i="1"/>
  <c r="AB265" i="1"/>
  <c r="AB407" i="1"/>
  <c r="AB411" i="1"/>
  <c r="AB419" i="1"/>
  <c r="AB64" i="1"/>
  <c r="Z189" i="1"/>
  <c r="AB377" i="1"/>
  <c r="AB169" i="1"/>
  <c r="AB173" i="1"/>
  <c r="AB177" i="1"/>
  <c r="AB181" i="1"/>
  <c r="AB16" i="1"/>
  <c r="AB89" i="1"/>
  <c r="AB263" i="1"/>
  <c r="AB331" i="1"/>
  <c r="AB335" i="1"/>
  <c r="AB344" i="1"/>
  <c r="AB421" i="1"/>
  <c r="V29" i="1"/>
  <c r="V30" i="1" s="1"/>
  <c r="AB8" i="1"/>
  <c r="AB65" i="1"/>
  <c r="AA149" i="1"/>
  <c r="AB136" i="1"/>
  <c r="AB174" i="1"/>
  <c r="V269" i="1"/>
  <c r="V270" i="1" s="1"/>
  <c r="AB364" i="1"/>
  <c r="AA69" i="1"/>
  <c r="AA109" i="1"/>
  <c r="V149" i="1"/>
  <c r="V150" i="1" s="1"/>
  <c r="Z308" i="1"/>
  <c r="AB369" i="1"/>
  <c r="AB450" i="1"/>
  <c r="AB463" i="1"/>
  <c r="AB24" i="1"/>
  <c r="AB25" i="1"/>
  <c r="AB57" i="1"/>
  <c r="AB62" i="1"/>
  <c r="AB90" i="1"/>
  <c r="AB134" i="1"/>
  <c r="AB139" i="1"/>
  <c r="AB168" i="1"/>
  <c r="AB254" i="1"/>
  <c r="AA308" i="1"/>
  <c r="AB327" i="1"/>
  <c r="AB374" i="1"/>
  <c r="AA466" i="1"/>
  <c r="AA230" i="1"/>
  <c r="AB284" i="1"/>
  <c r="AB336" i="1"/>
  <c r="AB402" i="1"/>
  <c r="AB418" i="1"/>
  <c r="AB442" i="1"/>
  <c r="AB455" i="1"/>
  <c r="AA29" i="1"/>
  <c r="AB49" i="1"/>
  <c r="AB54" i="1"/>
  <c r="AB68" i="1"/>
  <c r="AB128" i="1"/>
  <c r="AB144" i="1"/>
  <c r="AB176" i="1"/>
  <c r="AB210" i="1"/>
  <c r="AB289" i="1"/>
  <c r="AA386" i="1"/>
  <c r="AA425" i="1"/>
  <c r="V466" i="1"/>
  <c r="V467" i="1" s="1"/>
  <c r="AB17" i="1"/>
  <c r="V109" i="1"/>
  <c r="V110" i="1" s="1"/>
  <c r="V425" i="1"/>
  <c r="V426" i="1" s="1"/>
  <c r="AB447" i="1"/>
  <c r="AB46" i="1"/>
  <c r="AB60" i="1"/>
  <c r="AB126" i="1"/>
  <c r="AB131" i="1"/>
  <c r="AB142" i="1"/>
  <c r="AB147" i="1"/>
  <c r="AB166" i="1"/>
  <c r="AB184" i="1"/>
  <c r="V230" i="1"/>
  <c r="V231" i="1" s="1"/>
  <c r="AA269" i="1"/>
  <c r="V308" i="1"/>
  <c r="V309" i="1" s="1"/>
  <c r="AB323" i="1"/>
  <c r="AA347" i="1"/>
  <c r="AB339" i="1"/>
  <c r="V386" i="1"/>
  <c r="V387" i="1" s="1"/>
  <c r="AB366" i="1"/>
  <c r="AB385" i="1"/>
  <c r="AB448" i="1"/>
  <c r="AB456" i="1"/>
  <c r="AB464" i="1"/>
  <c r="AB449" i="1"/>
  <c r="AB457" i="1"/>
  <c r="AB465" i="1"/>
  <c r="Z466" i="1"/>
  <c r="AB443" i="1"/>
  <c r="AB451" i="1"/>
  <c r="AB459" i="1"/>
  <c r="AB444" i="1"/>
  <c r="AB452" i="1"/>
  <c r="AB460" i="1"/>
  <c r="AB414" i="1"/>
  <c r="AB422" i="1"/>
  <c r="AB415" i="1"/>
  <c r="AB423" i="1"/>
  <c r="AB408" i="1"/>
  <c r="AB416" i="1"/>
  <c r="AB424" i="1"/>
  <c r="AB401" i="1"/>
  <c r="AB409" i="1"/>
  <c r="AB417" i="1"/>
  <c r="Z425" i="1"/>
  <c r="AB410" i="1"/>
  <c r="AB382" i="1"/>
  <c r="AB367" i="1"/>
  <c r="AB375" i="1"/>
  <c r="AB383" i="1"/>
  <c r="AB368" i="1"/>
  <c r="AB376" i="1"/>
  <c r="AB384" i="1"/>
  <c r="AB362" i="1"/>
  <c r="AB370" i="1"/>
  <c r="AB378" i="1"/>
  <c r="Z386" i="1"/>
  <c r="AB363" i="1"/>
  <c r="AB371" i="1"/>
  <c r="AB379" i="1"/>
  <c r="AB325" i="1"/>
  <c r="AB326" i="1"/>
  <c r="AB334" i="1"/>
  <c r="AB342" i="1"/>
  <c r="Z347" i="1"/>
  <c r="AB329" i="1"/>
  <c r="AB337" i="1"/>
  <c r="AB345" i="1"/>
  <c r="AB330" i="1"/>
  <c r="AB338" i="1"/>
  <c r="AB346" i="1"/>
  <c r="V347" i="1"/>
  <c r="V348" i="1" s="1"/>
  <c r="AB287" i="1"/>
  <c r="AB295" i="1"/>
  <c r="AB303" i="1"/>
  <c r="AB290" i="1"/>
  <c r="AB298" i="1"/>
  <c r="AB306" i="1"/>
  <c r="AB291" i="1"/>
  <c r="AB299" i="1"/>
  <c r="AB307" i="1"/>
  <c r="AB248" i="1"/>
  <c r="AB256" i="1"/>
  <c r="AB264" i="1"/>
  <c r="AB250" i="1"/>
  <c r="AB258" i="1"/>
  <c r="AB266" i="1"/>
  <c r="Z269" i="1"/>
  <c r="AB251" i="1"/>
  <c r="AB259" i="1"/>
  <c r="AB267" i="1"/>
  <c r="AB252" i="1"/>
  <c r="AB260" i="1"/>
  <c r="AB268" i="1"/>
  <c r="AB218" i="1"/>
  <c r="AB226" i="1"/>
  <c r="AB211" i="1"/>
  <c r="AB219" i="1"/>
  <c r="AB227" i="1"/>
  <c r="Z230" i="1"/>
  <c r="AB212" i="1"/>
  <c r="AB220" i="1"/>
  <c r="AB228" i="1"/>
  <c r="AB213" i="1"/>
  <c r="AB221" i="1"/>
  <c r="AB229" i="1"/>
  <c r="AB206" i="1"/>
  <c r="AB214" i="1"/>
  <c r="AB222" i="1"/>
  <c r="AB207" i="1"/>
  <c r="V189" i="1"/>
  <c r="V190" i="1" s="1"/>
  <c r="AB170" i="1"/>
  <c r="AB178" i="1"/>
  <c r="AB186" i="1"/>
  <c r="AB171" i="1"/>
  <c r="AB179" i="1"/>
  <c r="AB187" i="1"/>
  <c r="AB172" i="1"/>
  <c r="AB180" i="1"/>
  <c r="AB188" i="1"/>
  <c r="AB165" i="1"/>
  <c r="AB182" i="1"/>
  <c r="AA189" i="1"/>
  <c r="AB167" i="1"/>
  <c r="AB175" i="1"/>
  <c r="AB183" i="1"/>
  <c r="AB130" i="1"/>
  <c r="AB132" i="1"/>
  <c r="AB140" i="1"/>
  <c r="AB148" i="1"/>
  <c r="AB138" i="1"/>
  <c r="AB125" i="1"/>
  <c r="AB133" i="1"/>
  <c r="AB141" i="1"/>
  <c r="Z149" i="1"/>
  <c r="F113" i="1"/>
  <c r="U37" i="10" s="1"/>
  <c r="T37" i="10" s="1"/>
  <c r="AB85" i="1"/>
  <c r="AB93" i="1"/>
  <c r="AB101" i="1"/>
  <c r="Z109" i="1"/>
  <c r="AB86" i="1"/>
  <c r="AB94" i="1"/>
  <c r="AB102" i="1"/>
  <c r="AB87" i="1"/>
  <c r="AB103" i="1"/>
  <c r="AB104" i="1"/>
  <c r="AB97" i="1"/>
  <c r="AB50" i="1"/>
  <c r="AB58" i="1"/>
  <c r="AB66" i="1"/>
  <c r="F73" i="1"/>
  <c r="U22" i="10" s="1"/>
  <c r="T22" i="10" s="1"/>
  <c r="AB51" i="1"/>
  <c r="AB59" i="1"/>
  <c r="AB67" i="1"/>
  <c r="Z69" i="1"/>
  <c r="AB45" i="1"/>
  <c r="AB53" i="1"/>
  <c r="AB61" i="1"/>
  <c r="F33" i="1"/>
  <c r="U7" i="10" s="1"/>
  <c r="T7" i="10" s="1"/>
  <c r="AB10" i="1"/>
  <c r="AB18" i="1"/>
  <c r="AB19" i="1"/>
  <c r="AB27" i="1"/>
  <c r="AB11" i="1"/>
  <c r="AB12" i="1"/>
  <c r="AB20" i="1"/>
  <c r="AB28" i="1"/>
  <c r="Z29" i="1"/>
  <c r="AB5" i="1"/>
  <c r="AB13" i="1"/>
  <c r="AB21" i="1"/>
  <c r="T154" i="10" l="1"/>
  <c r="T79" i="10"/>
  <c r="J78" i="1"/>
  <c r="T109" i="10"/>
  <c r="T34" i="10"/>
  <c r="G73" i="1"/>
  <c r="U19" i="10" s="1"/>
  <c r="J75" i="1"/>
  <c r="S19" i="10"/>
  <c r="J117" i="1"/>
  <c r="B35" i="10" s="1"/>
  <c r="I35" i="10" s="1"/>
  <c r="J434" i="1"/>
  <c r="D155" i="10" s="1"/>
  <c r="J155" i="1"/>
  <c r="S49" i="10"/>
  <c r="S184" i="10" s="1"/>
  <c r="D110" i="10"/>
  <c r="K110" i="10" s="1"/>
  <c r="D125" i="10"/>
  <c r="K125" i="10" s="1"/>
  <c r="H493" i="1"/>
  <c r="G193" i="1"/>
  <c r="U64" i="10" s="1"/>
  <c r="J195" i="1"/>
  <c r="S64" i="10"/>
  <c r="B140" i="10"/>
  <c r="I140" i="10" s="1"/>
  <c r="B5" i="10"/>
  <c r="H494" i="1"/>
  <c r="J115" i="1"/>
  <c r="T169" i="10"/>
  <c r="U139" i="10"/>
  <c r="T139" i="10" s="1"/>
  <c r="U4" i="10"/>
  <c r="T4" i="10" s="1"/>
  <c r="U94" i="10"/>
  <c r="T94" i="10" s="1"/>
  <c r="T124" i="10"/>
  <c r="U54" i="10"/>
  <c r="T54" i="10" s="1"/>
  <c r="U114" i="10"/>
  <c r="T114" i="10" s="1"/>
  <c r="J313" i="1"/>
  <c r="J315" i="1" s="1"/>
  <c r="U159" i="10"/>
  <c r="T159" i="10" s="1"/>
  <c r="J430" i="1"/>
  <c r="J432" i="1" s="1"/>
  <c r="U144" i="10"/>
  <c r="T144" i="10" s="1"/>
  <c r="J391" i="1"/>
  <c r="U129" i="10"/>
  <c r="T129" i="10" s="1"/>
  <c r="J352" i="1"/>
  <c r="U99" i="10"/>
  <c r="T99" i="10" s="1"/>
  <c r="J274" i="1"/>
  <c r="U174" i="10"/>
  <c r="T174" i="10" s="1"/>
  <c r="J471" i="1"/>
  <c r="J473" i="1" s="1"/>
  <c r="D140" i="10"/>
  <c r="K140" i="10" s="1"/>
  <c r="D95" i="10"/>
  <c r="S189" i="10"/>
  <c r="D473" i="1"/>
  <c r="D474" i="1" s="1"/>
  <c r="E467" i="1"/>
  <c r="D432" i="1"/>
  <c r="D433" i="1" s="1"/>
  <c r="E426" i="1"/>
  <c r="D393" i="1"/>
  <c r="D394" i="1" s="1"/>
  <c r="E387" i="1"/>
  <c r="D354" i="1"/>
  <c r="D355" i="1" s="1"/>
  <c r="E348" i="1"/>
  <c r="AG307" i="1"/>
  <c r="AH307" i="1" s="1"/>
  <c r="BB307" i="1" s="1"/>
  <c r="BG307" i="1" s="1"/>
  <c r="AG290" i="1"/>
  <c r="C297" i="1"/>
  <c r="D297" i="1" s="1"/>
  <c r="X297" i="1" s="1"/>
  <c r="AC297" i="1" s="1"/>
  <c r="AG303" i="1"/>
  <c r="AH303" i="1" s="1"/>
  <c r="BB303" i="1" s="1"/>
  <c r="BG303" i="1" s="1"/>
  <c r="AG286" i="1"/>
  <c r="AH286" i="1" s="1"/>
  <c r="BB286" i="1" s="1"/>
  <c r="BG286" i="1" s="1"/>
  <c r="C293" i="1"/>
  <c r="D293" i="1" s="1"/>
  <c r="X293" i="1" s="1"/>
  <c r="AC293" i="1" s="1"/>
  <c r="AG306" i="1"/>
  <c r="C305" i="1"/>
  <c r="D305" i="1" s="1"/>
  <c r="X305" i="1" s="1"/>
  <c r="AC305" i="1" s="1"/>
  <c r="AG299" i="1"/>
  <c r="AH299" i="1" s="1"/>
  <c r="BB299" i="1" s="1"/>
  <c r="BG299" i="1" s="1"/>
  <c r="C306" i="1"/>
  <c r="C289" i="1"/>
  <c r="AG295" i="1"/>
  <c r="C302" i="1"/>
  <c r="D302" i="1" s="1"/>
  <c r="X302" i="1" s="1"/>
  <c r="AC302" i="1" s="1"/>
  <c r="C285" i="1"/>
  <c r="D285" i="1" s="1"/>
  <c r="X285" i="1" s="1"/>
  <c r="AC285" i="1" s="1"/>
  <c r="AG302" i="1"/>
  <c r="AH302" i="1" s="1"/>
  <c r="BB302" i="1" s="1"/>
  <c r="BG302" i="1" s="1"/>
  <c r="AG291" i="1"/>
  <c r="AH291" i="1" s="1"/>
  <c r="BB291" i="1" s="1"/>
  <c r="BG291" i="1" s="1"/>
  <c r="C298" i="1"/>
  <c r="D298" i="1" s="1"/>
  <c r="X298" i="1" s="1"/>
  <c r="AG304" i="1"/>
  <c r="AG287" i="1"/>
  <c r="AH287" i="1" s="1"/>
  <c r="BB287" i="1" s="1"/>
  <c r="BG287" i="1" s="1"/>
  <c r="C294" i="1"/>
  <c r="D294" i="1" s="1"/>
  <c r="X294" i="1" s="1"/>
  <c r="AC294" i="1" s="1"/>
  <c r="AG300" i="1"/>
  <c r="AH300" i="1" s="1"/>
  <c r="BB300" i="1" s="1"/>
  <c r="BG300" i="1" s="1"/>
  <c r="AG289" i="1"/>
  <c r="AH289" i="1" s="1"/>
  <c r="BB289" i="1" s="1"/>
  <c r="BG289" i="1" s="1"/>
  <c r="AG298" i="1"/>
  <c r="AH298" i="1" s="1"/>
  <c r="BB298" i="1" s="1"/>
  <c r="BG298" i="1" s="1"/>
  <c r="C284" i="1"/>
  <c r="C307" i="1"/>
  <c r="D307" i="1" s="1"/>
  <c r="X307" i="1" s="1"/>
  <c r="AC307" i="1" s="1"/>
  <c r="C290" i="1"/>
  <c r="AG296" i="1"/>
  <c r="AH296" i="1" s="1"/>
  <c r="BB296" i="1" s="1"/>
  <c r="BG296" i="1" s="1"/>
  <c r="C303" i="1"/>
  <c r="D303" i="1" s="1"/>
  <c r="X303" i="1" s="1"/>
  <c r="AC303" i="1" s="1"/>
  <c r="C286" i="1"/>
  <c r="D286" i="1" s="1"/>
  <c r="X286" i="1" s="1"/>
  <c r="AC286" i="1" s="1"/>
  <c r="AG292" i="1"/>
  <c r="AH292" i="1" s="1"/>
  <c r="BB292" i="1" s="1"/>
  <c r="BG292" i="1" s="1"/>
  <c r="AG285" i="1"/>
  <c r="AH285" i="1" s="1"/>
  <c r="BB285" i="1" s="1"/>
  <c r="BG285" i="1" s="1"/>
  <c r="C288" i="1"/>
  <c r="D288" i="1" s="1"/>
  <c r="X288" i="1" s="1"/>
  <c r="AC288" i="1" s="1"/>
  <c r="C299" i="1"/>
  <c r="D299" i="1" s="1"/>
  <c r="X299" i="1" s="1"/>
  <c r="AC299" i="1" s="1"/>
  <c r="AG305" i="1"/>
  <c r="AG288" i="1"/>
  <c r="AH288" i="1" s="1"/>
  <c r="BB288" i="1" s="1"/>
  <c r="BG288" i="1" s="1"/>
  <c r="C295" i="1"/>
  <c r="D295" i="1" s="1"/>
  <c r="X295" i="1" s="1"/>
  <c r="AC295" i="1" s="1"/>
  <c r="AG301" i="1"/>
  <c r="AH301" i="1" s="1"/>
  <c r="BB301" i="1" s="1"/>
  <c r="BG301" i="1" s="1"/>
  <c r="AG284" i="1"/>
  <c r="C296" i="1"/>
  <c r="D296" i="1" s="1"/>
  <c r="X296" i="1" s="1"/>
  <c r="AC296" i="1" s="1"/>
  <c r="C301" i="1"/>
  <c r="D301" i="1" s="1"/>
  <c r="X301" i="1" s="1"/>
  <c r="AC301" i="1" s="1"/>
  <c r="C291" i="1"/>
  <c r="D291" i="1" s="1"/>
  <c r="X291" i="1" s="1"/>
  <c r="AC291" i="1" s="1"/>
  <c r="AG297" i="1"/>
  <c r="C304" i="1"/>
  <c r="D304" i="1" s="1"/>
  <c r="X304" i="1" s="1"/>
  <c r="AC304" i="1" s="1"/>
  <c r="C287" i="1"/>
  <c r="D287" i="1" s="1"/>
  <c r="X287" i="1" s="1"/>
  <c r="AC287" i="1" s="1"/>
  <c r="AG293" i="1"/>
  <c r="AH293" i="1" s="1"/>
  <c r="BB293" i="1" s="1"/>
  <c r="BG293" i="1" s="1"/>
  <c r="C300" i="1"/>
  <c r="D300" i="1" s="1"/>
  <c r="X300" i="1" s="1"/>
  <c r="AC300" i="1" s="1"/>
  <c r="C292" i="1"/>
  <c r="D292" i="1" s="1"/>
  <c r="X292" i="1" s="1"/>
  <c r="AC292" i="1" s="1"/>
  <c r="AG294" i="1"/>
  <c r="AH294" i="1" s="1"/>
  <c r="BB294" i="1" s="1"/>
  <c r="BG294" i="1" s="1"/>
  <c r="AG268" i="1"/>
  <c r="AH268" i="1" s="1"/>
  <c r="BB268" i="1" s="1"/>
  <c r="BG268" i="1" s="1"/>
  <c r="AG251" i="1"/>
  <c r="C258" i="1"/>
  <c r="D258" i="1" s="1"/>
  <c r="X258" i="1" s="1"/>
  <c r="AC258" i="1" s="1"/>
  <c r="AG264" i="1"/>
  <c r="AH264" i="1" s="1"/>
  <c r="BB264" i="1" s="1"/>
  <c r="BG264" i="1" s="1"/>
  <c r="AG247" i="1"/>
  <c r="AH247" i="1" s="1"/>
  <c r="BB247" i="1" s="1"/>
  <c r="BG247" i="1" s="1"/>
  <c r="C254" i="1"/>
  <c r="D254" i="1" s="1"/>
  <c r="X254" i="1" s="1"/>
  <c r="AC254" i="1" s="1"/>
  <c r="AG260" i="1"/>
  <c r="AH260" i="1" s="1"/>
  <c r="BB260" i="1" s="1"/>
  <c r="BG260" i="1" s="1"/>
  <c r="C267" i="1"/>
  <c r="C250" i="1"/>
  <c r="D250" i="1" s="1"/>
  <c r="X250" i="1" s="1"/>
  <c r="AC250" i="1" s="1"/>
  <c r="AG256" i="1"/>
  <c r="C263" i="1"/>
  <c r="D263" i="1" s="1"/>
  <c r="X263" i="1" s="1"/>
  <c r="AC263" i="1" s="1"/>
  <c r="C246" i="1"/>
  <c r="D246" i="1" s="1"/>
  <c r="X246" i="1" s="1"/>
  <c r="AC246" i="1" s="1"/>
  <c r="AG252" i="1"/>
  <c r="AH252" i="1" s="1"/>
  <c r="BB252" i="1" s="1"/>
  <c r="BG252" i="1" s="1"/>
  <c r="C259" i="1"/>
  <c r="D259" i="1" s="1"/>
  <c r="X259" i="1" s="1"/>
  <c r="AG265" i="1"/>
  <c r="AH265" i="1" s="1"/>
  <c r="BB265" i="1" s="1"/>
  <c r="BG265" i="1" s="1"/>
  <c r="AG248" i="1"/>
  <c r="AH248" i="1" s="1"/>
  <c r="BB248" i="1" s="1"/>
  <c r="BG248" i="1" s="1"/>
  <c r="C255" i="1"/>
  <c r="D255" i="1" s="1"/>
  <c r="X255" i="1" s="1"/>
  <c r="AC255" i="1" s="1"/>
  <c r="AG261" i="1"/>
  <c r="C268" i="1"/>
  <c r="D268" i="1" s="1"/>
  <c r="X268" i="1" s="1"/>
  <c r="AC268" i="1" s="1"/>
  <c r="C251" i="1"/>
  <c r="AG257" i="1"/>
  <c r="AH257" i="1" s="1"/>
  <c r="BB257" i="1" s="1"/>
  <c r="BG257" i="1" s="1"/>
  <c r="C264" i="1"/>
  <c r="D264" i="1" s="1"/>
  <c r="X264" i="1" s="1"/>
  <c r="AC264" i="1" s="1"/>
  <c r="C247" i="1"/>
  <c r="D247" i="1" s="1"/>
  <c r="X247" i="1" s="1"/>
  <c r="AC247" i="1" s="1"/>
  <c r="AG253" i="1"/>
  <c r="AH253" i="1" s="1"/>
  <c r="BB253" i="1" s="1"/>
  <c r="BG253" i="1" s="1"/>
  <c r="C260" i="1"/>
  <c r="D260" i="1" s="1"/>
  <c r="X260" i="1" s="1"/>
  <c r="AC260" i="1" s="1"/>
  <c r="AG266" i="1"/>
  <c r="AG249" i="1"/>
  <c r="AH249" i="1" s="1"/>
  <c r="BB249" i="1" s="1"/>
  <c r="BG249" i="1" s="1"/>
  <c r="C256" i="1"/>
  <c r="D256" i="1" s="1"/>
  <c r="X256" i="1" s="1"/>
  <c r="AC256" i="1" s="1"/>
  <c r="AG262" i="1"/>
  <c r="AH262" i="1" s="1"/>
  <c r="BB262" i="1" s="1"/>
  <c r="BG262" i="1" s="1"/>
  <c r="AG245" i="1"/>
  <c r="C252" i="1"/>
  <c r="D252" i="1" s="1"/>
  <c r="X252" i="1" s="1"/>
  <c r="AC252" i="1" s="1"/>
  <c r="AG258" i="1"/>
  <c r="AH258" i="1" s="1"/>
  <c r="BB258" i="1" s="1"/>
  <c r="BG258" i="1" s="1"/>
  <c r="C265" i="1"/>
  <c r="D265" i="1" s="1"/>
  <c r="X265" i="1" s="1"/>
  <c r="AC265" i="1" s="1"/>
  <c r="C248" i="1"/>
  <c r="AG254" i="1"/>
  <c r="AH254" i="1" s="1"/>
  <c r="BB254" i="1" s="1"/>
  <c r="BG254" i="1" s="1"/>
  <c r="C261" i="1"/>
  <c r="D261" i="1" s="1"/>
  <c r="X261" i="1" s="1"/>
  <c r="AC261" i="1" s="1"/>
  <c r="AG267" i="1"/>
  <c r="AG250" i="1"/>
  <c r="AH250" i="1" s="1"/>
  <c r="BB250" i="1" s="1"/>
  <c r="BG250" i="1" s="1"/>
  <c r="C257" i="1"/>
  <c r="D257" i="1" s="1"/>
  <c r="X257" i="1" s="1"/>
  <c r="AC257" i="1" s="1"/>
  <c r="AG263" i="1"/>
  <c r="AH263" i="1" s="1"/>
  <c r="BB263" i="1" s="1"/>
  <c r="BG263" i="1" s="1"/>
  <c r="AG246" i="1"/>
  <c r="AH246" i="1" s="1"/>
  <c r="BB246" i="1" s="1"/>
  <c r="BG246" i="1" s="1"/>
  <c r="C253" i="1"/>
  <c r="AG259" i="1"/>
  <c r="AH259" i="1" s="1"/>
  <c r="BB259" i="1" s="1"/>
  <c r="BG259" i="1" s="1"/>
  <c r="C266" i="1"/>
  <c r="D266" i="1" s="1"/>
  <c r="X266" i="1" s="1"/>
  <c r="AC266" i="1" s="1"/>
  <c r="C249" i="1"/>
  <c r="D249" i="1" s="1"/>
  <c r="X249" i="1" s="1"/>
  <c r="AC249" i="1" s="1"/>
  <c r="AG255" i="1"/>
  <c r="AH255" i="1" s="1"/>
  <c r="BB255" i="1" s="1"/>
  <c r="BG255" i="1" s="1"/>
  <c r="C262" i="1"/>
  <c r="D262" i="1" s="1"/>
  <c r="X262" i="1" s="1"/>
  <c r="AC262" i="1" s="1"/>
  <c r="C245" i="1"/>
  <c r="AG229" i="1"/>
  <c r="AH229" i="1" s="1"/>
  <c r="BB229" i="1" s="1"/>
  <c r="BG229" i="1" s="1"/>
  <c r="AG212" i="1"/>
  <c r="C219" i="1"/>
  <c r="D219" i="1" s="1"/>
  <c r="X219" i="1" s="1"/>
  <c r="AC219" i="1" s="1"/>
  <c r="AG225" i="1"/>
  <c r="AH225" i="1" s="1"/>
  <c r="BB225" i="1" s="1"/>
  <c r="BG225" i="1" s="1"/>
  <c r="AG208" i="1"/>
  <c r="AH208" i="1" s="1"/>
  <c r="BB208" i="1" s="1"/>
  <c r="BG208" i="1" s="1"/>
  <c r="C215" i="1"/>
  <c r="D215" i="1" s="1"/>
  <c r="X215" i="1" s="1"/>
  <c r="AC215" i="1" s="1"/>
  <c r="AG221" i="1"/>
  <c r="AH221" i="1" s="1"/>
  <c r="BB221" i="1" s="1"/>
  <c r="BG221" i="1" s="1"/>
  <c r="C228" i="1"/>
  <c r="D228" i="1" s="1"/>
  <c r="X228" i="1" s="1"/>
  <c r="AC228" i="1" s="1"/>
  <c r="C211" i="1"/>
  <c r="D211" i="1" s="1"/>
  <c r="X211" i="1" s="1"/>
  <c r="AC211" i="1" s="1"/>
  <c r="AG217" i="1"/>
  <c r="AH217" i="1" s="1"/>
  <c r="BB217" i="1" s="1"/>
  <c r="BG217" i="1" s="1"/>
  <c r="C224" i="1"/>
  <c r="D224" i="1" s="1"/>
  <c r="X224" i="1" s="1"/>
  <c r="AC224" i="1" s="1"/>
  <c r="C207" i="1"/>
  <c r="D207" i="1" s="1"/>
  <c r="X207" i="1" s="1"/>
  <c r="AC207" i="1" s="1"/>
  <c r="AG213" i="1"/>
  <c r="AH213" i="1" s="1"/>
  <c r="BB213" i="1" s="1"/>
  <c r="BG213" i="1" s="1"/>
  <c r="C220" i="1"/>
  <c r="D220" i="1" s="1"/>
  <c r="X220" i="1" s="1"/>
  <c r="AG226" i="1"/>
  <c r="AH226" i="1" s="1"/>
  <c r="BB226" i="1" s="1"/>
  <c r="BG226" i="1" s="1"/>
  <c r="AG209" i="1"/>
  <c r="AH209" i="1" s="1"/>
  <c r="BB209" i="1" s="1"/>
  <c r="BG209" i="1" s="1"/>
  <c r="C216" i="1"/>
  <c r="D216" i="1" s="1"/>
  <c r="X216" i="1" s="1"/>
  <c r="AC216" i="1" s="1"/>
  <c r="AG222" i="1"/>
  <c r="AH222" i="1" s="1"/>
  <c r="BB222" i="1" s="1"/>
  <c r="BG222" i="1" s="1"/>
  <c r="C229" i="1"/>
  <c r="D229" i="1" s="1"/>
  <c r="X229" i="1" s="1"/>
  <c r="AC229" i="1" s="1"/>
  <c r="C212" i="1"/>
  <c r="D212" i="1" s="1"/>
  <c r="X212" i="1" s="1"/>
  <c r="AG218" i="1"/>
  <c r="AH218" i="1" s="1"/>
  <c r="BB218" i="1" s="1"/>
  <c r="BG218" i="1" s="1"/>
  <c r="C225" i="1"/>
  <c r="D225" i="1" s="1"/>
  <c r="X225" i="1" s="1"/>
  <c r="AC225" i="1" s="1"/>
  <c r="C208" i="1"/>
  <c r="D208" i="1" s="1"/>
  <c r="X208" i="1" s="1"/>
  <c r="AC208" i="1" s="1"/>
  <c r="AG214" i="1"/>
  <c r="AH214" i="1" s="1"/>
  <c r="BB214" i="1" s="1"/>
  <c r="BG214" i="1" s="1"/>
  <c r="C221" i="1"/>
  <c r="D221" i="1" s="1"/>
  <c r="X221" i="1" s="1"/>
  <c r="AC221" i="1" s="1"/>
  <c r="AG227" i="1"/>
  <c r="AH227" i="1" s="1"/>
  <c r="BB227" i="1" s="1"/>
  <c r="BG227" i="1" s="1"/>
  <c r="AG210" i="1"/>
  <c r="AH210" i="1" s="1"/>
  <c r="BB210" i="1" s="1"/>
  <c r="BG210" i="1" s="1"/>
  <c r="C217" i="1"/>
  <c r="D217" i="1" s="1"/>
  <c r="X217" i="1" s="1"/>
  <c r="AC217" i="1" s="1"/>
  <c r="AG223" i="1"/>
  <c r="AH223" i="1" s="1"/>
  <c r="BB223" i="1" s="1"/>
  <c r="BG223" i="1" s="1"/>
  <c r="AG206" i="1"/>
  <c r="C213" i="1"/>
  <c r="D213" i="1" s="1"/>
  <c r="X213" i="1" s="1"/>
  <c r="AC213" i="1" s="1"/>
  <c r="AG219" i="1"/>
  <c r="AH219" i="1" s="1"/>
  <c r="BB219" i="1" s="1"/>
  <c r="BG219" i="1" s="1"/>
  <c r="C226" i="1"/>
  <c r="D226" i="1" s="1"/>
  <c r="X226" i="1" s="1"/>
  <c r="AC226" i="1" s="1"/>
  <c r="C209" i="1"/>
  <c r="D209" i="1" s="1"/>
  <c r="X209" i="1" s="1"/>
  <c r="AC209" i="1" s="1"/>
  <c r="AG215" i="1"/>
  <c r="AH215" i="1" s="1"/>
  <c r="BB215" i="1" s="1"/>
  <c r="BG215" i="1" s="1"/>
  <c r="C222" i="1"/>
  <c r="D222" i="1" s="1"/>
  <c r="X222" i="1" s="1"/>
  <c r="AC222" i="1" s="1"/>
  <c r="AG228" i="1"/>
  <c r="AG211" i="1"/>
  <c r="AH211" i="1" s="1"/>
  <c r="BB211" i="1" s="1"/>
  <c r="BG211" i="1" s="1"/>
  <c r="C218" i="1"/>
  <c r="D218" i="1" s="1"/>
  <c r="X218" i="1" s="1"/>
  <c r="AC218" i="1" s="1"/>
  <c r="AG224" i="1"/>
  <c r="AH224" i="1" s="1"/>
  <c r="BB224" i="1" s="1"/>
  <c r="BG224" i="1" s="1"/>
  <c r="AG207" i="1"/>
  <c r="AH207" i="1" s="1"/>
  <c r="BB207" i="1" s="1"/>
  <c r="BG207" i="1" s="1"/>
  <c r="C214" i="1"/>
  <c r="D214" i="1" s="1"/>
  <c r="X214" i="1" s="1"/>
  <c r="AC214" i="1" s="1"/>
  <c r="AG220" i="1"/>
  <c r="AH220" i="1" s="1"/>
  <c r="BB220" i="1" s="1"/>
  <c r="BG220" i="1" s="1"/>
  <c r="C227" i="1"/>
  <c r="D227" i="1" s="1"/>
  <c r="X227" i="1" s="1"/>
  <c r="AC227" i="1" s="1"/>
  <c r="C210" i="1"/>
  <c r="D210" i="1" s="1"/>
  <c r="X210" i="1" s="1"/>
  <c r="AC210" i="1" s="1"/>
  <c r="AG216" i="1"/>
  <c r="AH216" i="1" s="1"/>
  <c r="BB216" i="1" s="1"/>
  <c r="BG216" i="1" s="1"/>
  <c r="C223" i="1"/>
  <c r="D223" i="1" s="1"/>
  <c r="X223" i="1" s="1"/>
  <c r="AC223" i="1" s="1"/>
  <c r="C206" i="1"/>
  <c r="D196" i="1"/>
  <c r="D197" i="1" s="1"/>
  <c r="E190" i="1"/>
  <c r="D156" i="1"/>
  <c r="D157" i="1" s="1"/>
  <c r="E150" i="1"/>
  <c r="D116" i="1"/>
  <c r="D117" i="1" s="1"/>
  <c r="E110" i="1"/>
  <c r="E39" i="7"/>
  <c r="E40" i="7" s="1"/>
  <c r="E41" i="7" s="1"/>
  <c r="E42" i="7" s="1"/>
  <c r="E44" i="7" s="1"/>
  <c r="E70" i="1"/>
  <c r="AG28" i="1"/>
  <c r="AG11" i="1"/>
  <c r="C18" i="1"/>
  <c r="AG24" i="1"/>
  <c r="AG7" i="1"/>
  <c r="C14" i="1"/>
  <c r="AG20" i="1"/>
  <c r="C27" i="1"/>
  <c r="C10" i="1"/>
  <c r="AG16" i="1"/>
  <c r="C23" i="1"/>
  <c r="C6" i="1"/>
  <c r="AG12" i="1"/>
  <c r="C19" i="1"/>
  <c r="AG25" i="1"/>
  <c r="AG8" i="1"/>
  <c r="C15" i="1"/>
  <c r="AG21" i="1"/>
  <c r="C28" i="1"/>
  <c r="C11" i="1"/>
  <c r="AG17" i="1"/>
  <c r="C24" i="1"/>
  <c r="C7" i="1"/>
  <c r="AG13" i="1"/>
  <c r="C20" i="1"/>
  <c r="AG26" i="1"/>
  <c r="AG9" i="1"/>
  <c r="C16" i="1"/>
  <c r="AG22" i="1"/>
  <c r="AG5" i="1"/>
  <c r="C12" i="1"/>
  <c r="AG18" i="1"/>
  <c r="C25" i="1"/>
  <c r="C8" i="1"/>
  <c r="AG14" i="1"/>
  <c r="C21" i="1"/>
  <c r="AG27" i="1"/>
  <c r="AG10" i="1"/>
  <c r="C17" i="1"/>
  <c r="AG23" i="1"/>
  <c r="AG6" i="1"/>
  <c r="C13" i="1"/>
  <c r="AG19" i="1"/>
  <c r="C26" i="1"/>
  <c r="C9" i="1"/>
  <c r="AG15" i="1"/>
  <c r="C22" i="1"/>
  <c r="C5" i="1"/>
  <c r="B125" i="10"/>
  <c r="I125" i="10" s="1"/>
  <c r="D315" i="1"/>
  <c r="D316" i="1" s="1"/>
  <c r="K39" i="7"/>
  <c r="K40" i="7" s="1"/>
  <c r="K41" i="7" s="1"/>
  <c r="K42" i="7" s="1"/>
  <c r="K44" i="7" s="1"/>
  <c r="D310" i="1"/>
  <c r="B110" i="10"/>
  <c r="I110" i="10" s="1"/>
  <c r="D276" i="1"/>
  <c r="D277" i="1" s="1"/>
  <c r="J39" i="7"/>
  <c r="J40" i="7" s="1"/>
  <c r="J41" i="7" s="1"/>
  <c r="J42" i="7" s="1"/>
  <c r="J44" i="7" s="1"/>
  <c r="D271" i="1"/>
  <c r="B95" i="10"/>
  <c r="I95" i="10" s="1"/>
  <c r="D20" i="10"/>
  <c r="C20" i="10" s="1"/>
  <c r="D39" i="7"/>
  <c r="D40" i="7" s="1"/>
  <c r="D31" i="1"/>
  <c r="M37" i="1"/>
  <c r="M39" i="1" s="1"/>
  <c r="D237" i="1"/>
  <c r="D238" i="1" s="1"/>
  <c r="I39" i="7"/>
  <c r="I40" i="7" s="1"/>
  <c r="I41" i="7" s="1"/>
  <c r="I42" i="7" s="1"/>
  <c r="I44" i="7" s="1"/>
  <c r="T172" i="10"/>
  <c r="J354" i="1"/>
  <c r="U127" i="10"/>
  <c r="T127" i="10" s="1"/>
  <c r="O39" i="7"/>
  <c r="O40" i="7" s="1"/>
  <c r="O41" i="7" s="1"/>
  <c r="O42" i="7" s="1"/>
  <c r="O44" i="7" s="1"/>
  <c r="D468" i="1"/>
  <c r="N39" i="7"/>
  <c r="D427" i="1"/>
  <c r="D388" i="1"/>
  <c r="M39" i="7"/>
  <c r="D349" i="1"/>
  <c r="L39" i="7"/>
  <c r="D191" i="1"/>
  <c r="H39" i="7"/>
  <c r="D151" i="1"/>
  <c r="G39" i="7"/>
  <c r="D111" i="1"/>
  <c r="F39" i="7"/>
  <c r="D71" i="1"/>
  <c r="J234" i="1"/>
  <c r="D170" i="10"/>
  <c r="M117" i="1"/>
  <c r="M238" i="1"/>
  <c r="H33" i="1"/>
  <c r="F17" i="8"/>
  <c r="F18" i="8"/>
  <c r="F20" i="8"/>
  <c r="F21" i="8"/>
  <c r="AH256" i="1"/>
  <c r="BB256" i="1" s="1"/>
  <c r="BG256" i="1" s="1"/>
  <c r="D253" i="1"/>
  <c r="X253" i="1" s="1"/>
  <c r="AC253" i="1" s="1"/>
  <c r="AH266" i="1"/>
  <c r="BB266" i="1" s="1"/>
  <c r="BG266" i="1" s="1"/>
  <c r="D248" i="1"/>
  <c r="X248" i="1" s="1"/>
  <c r="AC248" i="1" s="1"/>
  <c r="AH261" i="1"/>
  <c r="BB261" i="1" s="1"/>
  <c r="BG261" i="1" s="1"/>
  <c r="AH295" i="1"/>
  <c r="BB295" i="1" s="1"/>
  <c r="BG295" i="1" s="1"/>
  <c r="AH304" i="1"/>
  <c r="BB304" i="1" s="1"/>
  <c r="BG304" i="1" s="1"/>
  <c r="AH305" i="1"/>
  <c r="BB305" i="1" s="1"/>
  <c r="BG305" i="1" s="1"/>
  <c r="AH297" i="1"/>
  <c r="BB297" i="1" s="1"/>
  <c r="BG297" i="1" s="1"/>
  <c r="D289" i="1"/>
  <c r="X289" i="1" s="1"/>
  <c r="AC289" i="1" s="1"/>
  <c r="B8" i="8"/>
  <c r="J35" i="1"/>
  <c r="J113" i="1"/>
  <c r="J118" i="1" s="1"/>
  <c r="J79" i="1"/>
  <c r="H73" i="1"/>
  <c r="H193" i="1"/>
  <c r="H475" i="1"/>
  <c r="G153" i="1"/>
  <c r="J154" i="1" s="1"/>
  <c r="G475" i="1"/>
  <c r="F476" i="1"/>
  <c r="J435" i="1"/>
  <c r="J396" i="1"/>
  <c r="J279" i="1"/>
  <c r="I193" i="1"/>
  <c r="J198" i="1" s="1"/>
  <c r="I153" i="1"/>
  <c r="J193" i="1"/>
  <c r="AB347" i="1"/>
  <c r="AB29" i="1"/>
  <c r="AB308" i="1"/>
  <c r="AB269" i="1"/>
  <c r="AB466" i="1"/>
  <c r="AB425" i="1"/>
  <c r="AB386" i="1"/>
  <c r="AB230" i="1"/>
  <c r="AB189" i="1"/>
  <c r="AB149" i="1"/>
  <c r="AB109" i="1"/>
  <c r="AB69" i="1"/>
  <c r="J74" i="1" l="1"/>
  <c r="J483" i="1"/>
  <c r="B80" i="10"/>
  <c r="I80" i="10" s="1"/>
  <c r="K155" i="10"/>
  <c r="J155" i="10" s="1"/>
  <c r="C155" i="10"/>
  <c r="J318" i="1"/>
  <c r="H488" i="1"/>
  <c r="J140" i="10"/>
  <c r="C140" i="10"/>
  <c r="J114" i="1"/>
  <c r="J116" i="1" s="1"/>
  <c r="J357" i="1"/>
  <c r="J235" i="1"/>
  <c r="H492" i="1"/>
  <c r="J158" i="1"/>
  <c r="H487" i="1" s="1"/>
  <c r="T64" i="10"/>
  <c r="J194" i="1"/>
  <c r="J196" i="1" s="1"/>
  <c r="T19" i="10"/>
  <c r="AC220" i="1"/>
  <c r="Y233" i="1"/>
  <c r="Y234" i="1" s="1"/>
  <c r="AC259" i="1"/>
  <c r="Y272" i="1"/>
  <c r="Y273" i="1" s="1"/>
  <c r="U49" i="10"/>
  <c r="AC298" i="1"/>
  <c r="Y311" i="1"/>
  <c r="Y312" i="1" s="1"/>
  <c r="U9" i="10"/>
  <c r="T9" i="10" s="1"/>
  <c r="J34" i="1"/>
  <c r="J36" i="1" s="1"/>
  <c r="C95" i="10"/>
  <c r="K20" i="10"/>
  <c r="J20" i="10" s="1"/>
  <c r="U24" i="10"/>
  <c r="T24" i="10" s="1"/>
  <c r="H489" i="1"/>
  <c r="K95" i="10"/>
  <c r="J95" i="10" s="1"/>
  <c r="H486" i="1"/>
  <c r="D5" i="10"/>
  <c r="C5" i="10" s="1"/>
  <c r="C110" i="10"/>
  <c r="C230" i="1"/>
  <c r="C231" i="1" s="1"/>
  <c r="C234" i="1"/>
  <c r="AG465" i="1"/>
  <c r="AH465" i="1" s="1"/>
  <c r="BB465" i="1" s="1"/>
  <c r="BG465" i="1" s="1"/>
  <c r="AG448" i="1"/>
  <c r="AH448" i="1" s="1"/>
  <c r="BB448" i="1" s="1"/>
  <c r="C455" i="1"/>
  <c r="D455" i="1" s="1"/>
  <c r="X455" i="1" s="1"/>
  <c r="AC455" i="1" s="1"/>
  <c r="AG461" i="1"/>
  <c r="AH461" i="1" s="1"/>
  <c r="BB461" i="1" s="1"/>
  <c r="BG461" i="1" s="1"/>
  <c r="AG444" i="1"/>
  <c r="AH444" i="1" s="1"/>
  <c r="BB444" i="1" s="1"/>
  <c r="BG444" i="1" s="1"/>
  <c r="C451" i="1"/>
  <c r="D451" i="1" s="1"/>
  <c r="X451" i="1" s="1"/>
  <c r="AC451" i="1" s="1"/>
  <c r="AG454" i="1"/>
  <c r="AH454" i="1" s="1"/>
  <c r="BB454" i="1" s="1"/>
  <c r="BG454" i="1" s="1"/>
  <c r="AG450" i="1"/>
  <c r="AH450" i="1" s="1"/>
  <c r="BB450" i="1" s="1"/>
  <c r="BG450" i="1" s="1"/>
  <c r="C453" i="1"/>
  <c r="D453" i="1" s="1"/>
  <c r="X453" i="1" s="1"/>
  <c r="AC453" i="1" s="1"/>
  <c r="C449" i="1"/>
  <c r="D449" i="1" s="1"/>
  <c r="X449" i="1" s="1"/>
  <c r="AC449" i="1" s="1"/>
  <c r="C458" i="1"/>
  <c r="D458" i="1" s="1"/>
  <c r="X458" i="1" s="1"/>
  <c r="AC458" i="1" s="1"/>
  <c r="AG460" i="1"/>
  <c r="AH460" i="1" s="1"/>
  <c r="BB460" i="1" s="1"/>
  <c r="BG460" i="1" s="1"/>
  <c r="C446" i="1"/>
  <c r="D446" i="1" s="1"/>
  <c r="X446" i="1" s="1"/>
  <c r="AC446" i="1" s="1"/>
  <c r="AG457" i="1"/>
  <c r="AH457" i="1" s="1"/>
  <c r="BB457" i="1" s="1"/>
  <c r="BG457" i="1" s="1"/>
  <c r="C464" i="1"/>
  <c r="D464" i="1" s="1"/>
  <c r="X464" i="1" s="1"/>
  <c r="C447" i="1"/>
  <c r="D447" i="1" s="1"/>
  <c r="X447" i="1" s="1"/>
  <c r="AC447" i="1" s="1"/>
  <c r="AG453" i="1"/>
  <c r="AH453" i="1" s="1"/>
  <c r="BB453" i="1" s="1"/>
  <c r="BG453" i="1" s="1"/>
  <c r="C460" i="1"/>
  <c r="D460" i="1" s="1"/>
  <c r="X460" i="1" s="1"/>
  <c r="AC460" i="1" s="1"/>
  <c r="C443" i="1"/>
  <c r="D443" i="1" s="1"/>
  <c r="X443" i="1" s="1"/>
  <c r="AC443" i="1" s="1"/>
  <c r="C461" i="1"/>
  <c r="D461" i="1" s="1"/>
  <c r="X461" i="1" s="1"/>
  <c r="AC461" i="1" s="1"/>
  <c r="AG463" i="1"/>
  <c r="AH463" i="1" s="1"/>
  <c r="BB463" i="1" s="1"/>
  <c r="BG463" i="1" s="1"/>
  <c r="AG442" i="1"/>
  <c r="AH442" i="1" s="1"/>
  <c r="AG464" i="1"/>
  <c r="AH464" i="1" s="1"/>
  <c r="BB464" i="1" s="1"/>
  <c r="C454" i="1"/>
  <c r="D454" i="1" s="1"/>
  <c r="X454" i="1" s="1"/>
  <c r="AC454" i="1" s="1"/>
  <c r="C459" i="1"/>
  <c r="D459" i="1" s="1"/>
  <c r="X459" i="1" s="1"/>
  <c r="AC459" i="1" s="1"/>
  <c r="AG449" i="1"/>
  <c r="AH449" i="1" s="1"/>
  <c r="BB449" i="1" s="1"/>
  <c r="BG449" i="1" s="1"/>
  <c r="C456" i="1"/>
  <c r="D456" i="1" s="1"/>
  <c r="X456" i="1" s="1"/>
  <c r="AC456" i="1" s="1"/>
  <c r="AG462" i="1"/>
  <c r="AH462" i="1" s="1"/>
  <c r="BB462" i="1" s="1"/>
  <c r="BG462" i="1" s="1"/>
  <c r="AG445" i="1"/>
  <c r="AH445" i="1" s="1"/>
  <c r="BB445" i="1" s="1"/>
  <c r="BG445" i="1" s="1"/>
  <c r="C452" i="1"/>
  <c r="D452" i="1" s="1"/>
  <c r="X452" i="1" s="1"/>
  <c r="AC452" i="1" s="1"/>
  <c r="AG458" i="1"/>
  <c r="AH458" i="1" s="1"/>
  <c r="BB458" i="1" s="1"/>
  <c r="BG458" i="1" s="1"/>
  <c r="C448" i="1"/>
  <c r="D448" i="1" s="1"/>
  <c r="X448" i="1" s="1"/>
  <c r="C444" i="1"/>
  <c r="D444" i="1" s="1"/>
  <c r="X444" i="1" s="1"/>
  <c r="AC444" i="1" s="1"/>
  <c r="AG446" i="1"/>
  <c r="AH446" i="1" s="1"/>
  <c r="BB446" i="1" s="1"/>
  <c r="BG446" i="1" s="1"/>
  <c r="AG455" i="1"/>
  <c r="AH455" i="1" s="1"/>
  <c r="BB455" i="1" s="1"/>
  <c r="BG455" i="1" s="1"/>
  <c r="AG451" i="1"/>
  <c r="AH451" i="1" s="1"/>
  <c r="BB451" i="1" s="1"/>
  <c r="BG451" i="1" s="1"/>
  <c r="AG443" i="1"/>
  <c r="AH443" i="1" s="1"/>
  <c r="BB443" i="1" s="1"/>
  <c r="BG443" i="1" s="1"/>
  <c r="C442" i="1"/>
  <c r="D442" i="1" s="1"/>
  <c r="C465" i="1"/>
  <c r="D465" i="1" s="1"/>
  <c r="X465" i="1" s="1"/>
  <c r="AC465" i="1" s="1"/>
  <c r="C462" i="1"/>
  <c r="D462" i="1" s="1"/>
  <c r="X462" i="1" s="1"/>
  <c r="AC462" i="1" s="1"/>
  <c r="AG456" i="1"/>
  <c r="AH456" i="1" s="1"/>
  <c r="BB456" i="1" s="1"/>
  <c r="BG456" i="1" s="1"/>
  <c r="C457" i="1"/>
  <c r="D457" i="1" s="1"/>
  <c r="X457" i="1" s="1"/>
  <c r="AC457" i="1" s="1"/>
  <c r="AG459" i="1"/>
  <c r="AH459" i="1" s="1"/>
  <c r="BB459" i="1" s="1"/>
  <c r="BG459" i="1" s="1"/>
  <c r="AG447" i="1"/>
  <c r="AH447" i="1" s="1"/>
  <c r="BB447" i="1" s="1"/>
  <c r="BG447" i="1" s="1"/>
  <c r="C450" i="1"/>
  <c r="D450" i="1" s="1"/>
  <c r="X450" i="1" s="1"/>
  <c r="AC450" i="1" s="1"/>
  <c r="AG452" i="1"/>
  <c r="AH452" i="1" s="1"/>
  <c r="BB452" i="1" s="1"/>
  <c r="BG452" i="1" s="1"/>
  <c r="C445" i="1"/>
  <c r="D445" i="1" s="1"/>
  <c r="X445" i="1" s="1"/>
  <c r="AC445" i="1" s="1"/>
  <c r="C463" i="1"/>
  <c r="D463" i="1" s="1"/>
  <c r="X463" i="1" s="1"/>
  <c r="AC463" i="1" s="1"/>
  <c r="AG424" i="1"/>
  <c r="AH424" i="1" s="1"/>
  <c r="BB424" i="1" s="1"/>
  <c r="BG424" i="1" s="1"/>
  <c r="AG407" i="1"/>
  <c r="C414" i="1"/>
  <c r="D414" i="1" s="1"/>
  <c r="X414" i="1" s="1"/>
  <c r="AC414" i="1" s="1"/>
  <c r="AG420" i="1"/>
  <c r="AH420" i="1" s="1"/>
  <c r="BB420" i="1" s="1"/>
  <c r="BG420" i="1" s="1"/>
  <c r="AG403" i="1"/>
  <c r="AH403" i="1" s="1"/>
  <c r="BB403" i="1" s="1"/>
  <c r="BG403" i="1" s="1"/>
  <c r="C410" i="1"/>
  <c r="D410" i="1" s="1"/>
  <c r="X410" i="1" s="1"/>
  <c r="AC410" i="1" s="1"/>
  <c r="AG421" i="1"/>
  <c r="AH421" i="1" s="1"/>
  <c r="BB421" i="1" s="1"/>
  <c r="BG421" i="1" s="1"/>
  <c r="AG416" i="1"/>
  <c r="AH416" i="1" s="1"/>
  <c r="BB416" i="1" s="1"/>
  <c r="BG416" i="1" s="1"/>
  <c r="C423" i="1"/>
  <c r="C406" i="1"/>
  <c r="D406" i="1" s="1"/>
  <c r="X406" i="1" s="1"/>
  <c r="AC406" i="1" s="1"/>
  <c r="AG412" i="1"/>
  <c r="AH412" i="1" s="1"/>
  <c r="BB412" i="1" s="1"/>
  <c r="BG412" i="1" s="1"/>
  <c r="C419" i="1"/>
  <c r="D419" i="1" s="1"/>
  <c r="X419" i="1" s="1"/>
  <c r="AC419" i="1" s="1"/>
  <c r="C402" i="1"/>
  <c r="D402" i="1" s="1"/>
  <c r="X402" i="1" s="1"/>
  <c r="AC402" i="1" s="1"/>
  <c r="C415" i="1"/>
  <c r="D415" i="1" s="1"/>
  <c r="X415" i="1" s="1"/>
  <c r="AC415" i="1" s="1"/>
  <c r="AG404" i="1"/>
  <c r="AH404" i="1" s="1"/>
  <c r="BB404" i="1" s="1"/>
  <c r="BG404" i="1" s="1"/>
  <c r="AG417" i="1"/>
  <c r="AH417" i="1" s="1"/>
  <c r="BB417" i="1" s="1"/>
  <c r="BG417" i="1" s="1"/>
  <c r="AG408" i="1"/>
  <c r="AH408" i="1" s="1"/>
  <c r="BB408" i="1" s="1"/>
  <c r="BG408" i="1" s="1"/>
  <c r="C411" i="1"/>
  <c r="D411" i="1" s="1"/>
  <c r="X411" i="1" s="1"/>
  <c r="AC411" i="1" s="1"/>
  <c r="C424" i="1"/>
  <c r="D424" i="1" s="1"/>
  <c r="X424" i="1" s="1"/>
  <c r="AC424" i="1" s="1"/>
  <c r="C407" i="1"/>
  <c r="AG413" i="1"/>
  <c r="AH413" i="1" s="1"/>
  <c r="BB413" i="1" s="1"/>
  <c r="BG413" i="1" s="1"/>
  <c r="C420" i="1"/>
  <c r="D420" i="1" s="1"/>
  <c r="X420" i="1" s="1"/>
  <c r="AC420" i="1" s="1"/>
  <c r="C403" i="1"/>
  <c r="D403" i="1" s="1"/>
  <c r="X403" i="1" s="1"/>
  <c r="AC403" i="1" s="1"/>
  <c r="AG409" i="1"/>
  <c r="AH409" i="1" s="1"/>
  <c r="BB409" i="1" s="1"/>
  <c r="BG409" i="1" s="1"/>
  <c r="C416" i="1"/>
  <c r="D416" i="1" s="1"/>
  <c r="X416" i="1" s="1"/>
  <c r="AC416" i="1" s="1"/>
  <c r="AG422" i="1"/>
  <c r="AH422" i="1" s="1"/>
  <c r="BB422" i="1" s="1"/>
  <c r="BG422" i="1" s="1"/>
  <c r="AG405" i="1"/>
  <c r="AH405" i="1" s="1"/>
  <c r="BB405" i="1" s="1"/>
  <c r="BG405" i="1" s="1"/>
  <c r="C412" i="1"/>
  <c r="D412" i="1" s="1"/>
  <c r="X412" i="1" s="1"/>
  <c r="AC412" i="1" s="1"/>
  <c r="AG418" i="1"/>
  <c r="AH418" i="1" s="1"/>
  <c r="BB418" i="1" s="1"/>
  <c r="BG418" i="1" s="1"/>
  <c r="AG401" i="1"/>
  <c r="AG419" i="1"/>
  <c r="AH419" i="1" s="1"/>
  <c r="BB419" i="1" s="1"/>
  <c r="BG419" i="1" s="1"/>
  <c r="C408" i="1"/>
  <c r="D408" i="1" s="1"/>
  <c r="X408" i="1" s="1"/>
  <c r="AC408" i="1" s="1"/>
  <c r="AG414" i="1"/>
  <c r="AH414" i="1" s="1"/>
  <c r="BB414" i="1" s="1"/>
  <c r="BG414" i="1" s="1"/>
  <c r="C421" i="1"/>
  <c r="D421" i="1" s="1"/>
  <c r="X421" i="1" s="1"/>
  <c r="AC421" i="1" s="1"/>
  <c r="C404" i="1"/>
  <c r="D404" i="1" s="1"/>
  <c r="X404" i="1" s="1"/>
  <c r="AC404" i="1" s="1"/>
  <c r="AG410" i="1"/>
  <c r="AH410" i="1" s="1"/>
  <c r="BB410" i="1" s="1"/>
  <c r="BG410" i="1" s="1"/>
  <c r="C417" i="1"/>
  <c r="D417" i="1" s="1"/>
  <c r="X417" i="1" s="1"/>
  <c r="AC417" i="1" s="1"/>
  <c r="AG402" i="1"/>
  <c r="AH402" i="1" s="1"/>
  <c r="BB402" i="1" s="1"/>
  <c r="BG402" i="1" s="1"/>
  <c r="AG423" i="1"/>
  <c r="AG406" i="1"/>
  <c r="AH406" i="1" s="1"/>
  <c r="BB406" i="1" s="1"/>
  <c r="BG406" i="1" s="1"/>
  <c r="C413" i="1"/>
  <c r="D413" i="1" s="1"/>
  <c r="X413" i="1" s="1"/>
  <c r="AC413" i="1" s="1"/>
  <c r="C409" i="1"/>
  <c r="D409" i="1" s="1"/>
  <c r="X409" i="1" s="1"/>
  <c r="AC409" i="1" s="1"/>
  <c r="AG415" i="1"/>
  <c r="AH415" i="1" s="1"/>
  <c r="BB415" i="1" s="1"/>
  <c r="BG415" i="1" s="1"/>
  <c r="C422" i="1"/>
  <c r="D422" i="1" s="1"/>
  <c r="X422" i="1" s="1"/>
  <c r="AC422" i="1" s="1"/>
  <c r="C405" i="1"/>
  <c r="D405" i="1" s="1"/>
  <c r="X405" i="1" s="1"/>
  <c r="AC405" i="1" s="1"/>
  <c r="AG411" i="1"/>
  <c r="AH411" i="1" s="1"/>
  <c r="BB411" i="1" s="1"/>
  <c r="BG411" i="1" s="1"/>
  <c r="C418" i="1"/>
  <c r="D418" i="1" s="1"/>
  <c r="X418" i="1" s="1"/>
  <c r="AC418" i="1" s="1"/>
  <c r="C401" i="1"/>
  <c r="AG385" i="1"/>
  <c r="AH385" i="1" s="1"/>
  <c r="BB385" i="1" s="1"/>
  <c r="BG385" i="1" s="1"/>
  <c r="AG368" i="1"/>
  <c r="C375" i="1"/>
  <c r="D375" i="1" s="1"/>
  <c r="X375" i="1" s="1"/>
  <c r="AC375" i="1" s="1"/>
  <c r="AG381" i="1"/>
  <c r="AH381" i="1" s="1"/>
  <c r="BB381" i="1" s="1"/>
  <c r="BG381" i="1" s="1"/>
  <c r="AG364" i="1"/>
  <c r="AH364" i="1" s="1"/>
  <c r="BB364" i="1" s="1"/>
  <c r="BG364" i="1" s="1"/>
  <c r="C371" i="1"/>
  <c r="D371" i="1" s="1"/>
  <c r="X371" i="1" s="1"/>
  <c r="AC371" i="1" s="1"/>
  <c r="AG377" i="1"/>
  <c r="AH377" i="1" s="1"/>
  <c r="BB377" i="1" s="1"/>
  <c r="BG377" i="1" s="1"/>
  <c r="C384" i="1"/>
  <c r="C367" i="1"/>
  <c r="D367" i="1" s="1"/>
  <c r="X367" i="1" s="1"/>
  <c r="AC367" i="1" s="1"/>
  <c r="AG373" i="1"/>
  <c r="AH373" i="1" s="1"/>
  <c r="BB373" i="1" s="1"/>
  <c r="BG373" i="1" s="1"/>
  <c r="C380" i="1"/>
  <c r="D380" i="1" s="1"/>
  <c r="X380" i="1" s="1"/>
  <c r="AC380" i="1" s="1"/>
  <c r="C363" i="1"/>
  <c r="D363" i="1" s="1"/>
  <c r="X363" i="1" s="1"/>
  <c r="AC363" i="1" s="1"/>
  <c r="AG367" i="1"/>
  <c r="AH367" i="1" s="1"/>
  <c r="BB367" i="1" s="1"/>
  <c r="BG367" i="1" s="1"/>
  <c r="AG369" i="1"/>
  <c r="AH369" i="1" s="1"/>
  <c r="BB369" i="1" s="1"/>
  <c r="BG369" i="1" s="1"/>
  <c r="C376" i="1"/>
  <c r="D376" i="1" s="1"/>
  <c r="X376" i="1" s="1"/>
  <c r="AC376" i="1" s="1"/>
  <c r="AG382" i="1"/>
  <c r="AH382" i="1" s="1"/>
  <c r="BB382" i="1" s="1"/>
  <c r="BG382" i="1" s="1"/>
  <c r="AG365" i="1"/>
  <c r="AH365" i="1" s="1"/>
  <c r="BB365" i="1" s="1"/>
  <c r="BG365" i="1" s="1"/>
  <c r="C372" i="1"/>
  <c r="D372" i="1" s="1"/>
  <c r="X372" i="1" s="1"/>
  <c r="AC372" i="1" s="1"/>
  <c r="AG378" i="1"/>
  <c r="AH378" i="1" s="1"/>
  <c r="BB378" i="1" s="1"/>
  <c r="BG378" i="1" s="1"/>
  <c r="AG363" i="1"/>
  <c r="AH363" i="1" s="1"/>
  <c r="BB363" i="1" s="1"/>
  <c r="BG363" i="1" s="1"/>
  <c r="C385" i="1"/>
  <c r="D385" i="1" s="1"/>
  <c r="X385" i="1" s="1"/>
  <c r="AC385" i="1" s="1"/>
  <c r="C368" i="1"/>
  <c r="AG374" i="1"/>
  <c r="AH374" i="1" s="1"/>
  <c r="BB374" i="1" s="1"/>
  <c r="BG374" i="1" s="1"/>
  <c r="C381" i="1"/>
  <c r="D381" i="1" s="1"/>
  <c r="X381" i="1" s="1"/>
  <c r="AC381" i="1" s="1"/>
  <c r="C364" i="1"/>
  <c r="D364" i="1" s="1"/>
  <c r="X364" i="1" s="1"/>
  <c r="AC364" i="1" s="1"/>
  <c r="AG370" i="1"/>
  <c r="AH370" i="1" s="1"/>
  <c r="BB370" i="1" s="1"/>
  <c r="BG370" i="1" s="1"/>
  <c r="C377" i="1"/>
  <c r="D377" i="1" s="1"/>
  <c r="X377" i="1" s="1"/>
  <c r="AC377" i="1" s="1"/>
  <c r="AG383" i="1"/>
  <c r="AH383" i="1" s="1"/>
  <c r="BB383" i="1" s="1"/>
  <c r="BG383" i="1" s="1"/>
  <c r="AG366" i="1"/>
  <c r="AH366" i="1" s="1"/>
  <c r="BB366" i="1" s="1"/>
  <c r="BG366" i="1" s="1"/>
  <c r="C373" i="1"/>
  <c r="D373" i="1" s="1"/>
  <c r="X373" i="1" s="1"/>
  <c r="AC373" i="1" s="1"/>
  <c r="AG379" i="1"/>
  <c r="AH379" i="1" s="1"/>
  <c r="BB379" i="1" s="1"/>
  <c r="BG379" i="1" s="1"/>
  <c r="AG362" i="1"/>
  <c r="C370" i="1"/>
  <c r="D370" i="1" s="1"/>
  <c r="X370" i="1" s="1"/>
  <c r="AC370" i="1" s="1"/>
  <c r="C369" i="1"/>
  <c r="D369" i="1" s="1"/>
  <c r="X369" i="1" s="1"/>
  <c r="AC369" i="1" s="1"/>
  <c r="AG375" i="1"/>
  <c r="AH375" i="1" s="1"/>
  <c r="BB375" i="1" s="1"/>
  <c r="BG375" i="1" s="1"/>
  <c r="C382" i="1"/>
  <c r="D382" i="1" s="1"/>
  <c r="X382" i="1" s="1"/>
  <c r="AC382" i="1" s="1"/>
  <c r="C365" i="1"/>
  <c r="D365" i="1" s="1"/>
  <c r="X365" i="1" s="1"/>
  <c r="AC365" i="1" s="1"/>
  <c r="AG371" i="1"/>
  <c r="AH371" i="1" s="1"/>
  <c r="BB371" i="1" s="1"/>
  <c r="BG371" i="1" s="1"/>
  <c r="C378" i="1"/>
  <c r="D378" i="1" s="1"/>
  <c r="X378" i="1" s="1"/>
  <c r="AC378" i="1" s="1"/>
  <c r="C374" i="1"/>
  <c r="D374" i="1" s="1"/>
  <c r="X374" i="1" s="1"/>
  <c r="AC374" i="1" s="1"/>
  <c r="AG384" i="1"/>
  <c r="AG380" i="1"/>
  <c r="AH380" i="1" s="1"/>
  <c r="BB380" i="1" s="1"/>
  <c r="BG380" i="1" s="1"/>
  <c r="AG376" i="1"/>
  <c r="AH376" i="1" s="1"/>
  <c r="BB376" i="1" s="1"/>
  <c r="BG376" i="1" s="1"/>
  <c r="C383" i="1"/>
  <c r="D383" i="1" s="1"/>
  <c r="X383" i="1" s="1"/>
  <c r="AC383" i="1" s="1"/>
  <c r="C366" i="1"/>
  <c r="D366" i="1" s="1"/>
  <c r="X366" i="1" s="1"/>
  <c r="AC366" i="1" s="1"/>
  <c r="AG372" i="1"/>
  <c r="AH372" i="1" s="1"/>
  <c r="BB372" i="1" s="1"/>
  <c r="BG372" i="1" s="1"/>
  <c r="C379" i="1"/>
  <c r="D379" i="1" s="1"/>
  <c r="X379" i="1" s="1"/>
  <c r="AC379" i="1" s="1"/>
  <c r="C362" i="1"/>
  <c r="AG346" i="1"/>
  <c r="AH346" i="1" s="1"/>
  <c r="BB346" i="1" s="1"/>
  <c r="BG346" i="1" s="1"/>
  <c r="AG329" i="1"/>
  <c r="AH329" i="1" s="1"/>
  <c r="BB329" i="1" s="1"/>
  <c r="C336" i="1"/>
  <c r="D336" i="1" s="1"/>
  <c r="X336" i="1" s="1"/>
  <c r="AC336" i="1" s="1"/>
  <c r="AG342" i="1"/>
  <c r="AH342" i="1" s="1"/>
  <c r="BB342" i="1" s="1"/>
  <c r="BG342" i="1" s="1"/>
  <c r="AG325" i="1"/>
  <c r="AH325" i="1" s="1"/>
  <c r="BB325" i="1" s="1"/>
  <c r="BG325" i="1" s="1"/>
  <c r="C332" i="1"/>
  <c r="D332" i="1" s="1"/>
  <c r="X332" i="1" s="1"/>
  <c r="AC332" i="1" s="1"/>
  <c r="C335" i="1"/>
  <c r="D335" i="1" s="1"/>
  <c r="X335" i="1" s="1"/>
  <c r="AC335" i="1" s="1"/>
  <c r="C340" i="1"/>
  <c r="D340" i="1" s="1"/>
  <c r="X340" i="1" s="1"/>
  <c r="AC340" i="1" s="1"/>
  <c r="AG338" i="1"/>
  <c r="AH338" i="1" s="1"/>
  <c r="BB338" i="1" s="1"/>
  <c r="BG338" i="1" s="1"/>
  <c r="C345" i="1"/>
  <c r="C328" i="1"/>
  <c r="D328" i="1" s="1"/>
  <c r="X328" i="1" s="1"/>
  <c r="AC328" i="1" s="1"/>
  <c r="AG334" i="1"/>
  <c r="AH334" i="1" s="1"/>
  <c r="BB334" i="1" s="1"/>
  <c r="BG334" i="1" s="1"/>
  <c r="C341" i="1"/>
  <c r="D341" i="1" s="1"/>
  <c r="X341" i="1" s="1"/>
  <c r="AC341" i="1" s="1"/>
  <c r="C324" i="1"/>
  <c r="D324" i="1" s="1"/>
  <c r="X324" i="1" s="1"/>
  <c r="AC324" i="1" s="1"/>
  <c r="AG328" i="1"/>
  <c r="AH328" i="1" s="1"/>
  <c r="BB328" i="1" s="1"/>
  <c r="BG328" i="1" s="1"/>
  <c r="AG330" i="1"/>
  <c r="AH330" i="1" s="1"/>
  <c r="BB330" i="1" s="1"/>
  <c r="BG330" i="1" s="1"/>
  <c r="C337" i="1"/>
  <c r="D337" i="1" s="1"/>
  <c r="X337" i="1" s="1"/>
  <c r="AG343" i="1"/>
  <c r="AH343" i="1" s="1"/>
  <c r="BB343" i="1" s="1"/>
  <c r="BG343" i="1" s="1"/>
  <c r="AG326" i="1"/>
  <c r="AH326" i="1" s="1"/>
  <c r="BB326" i="1" s="1"/>
  <c r="BG326" i="1" s="1"/>
  <c r="C333" i="1"/>
  <c r="D333" i="1" s="1"/>
  <c r="X333" i="1" s="1"/>
  <c r="AC333" i="1" s="1"/>
  <c r="AG339" i="1"/>
  <c r="AH339" i="1" s="1"/>
  <c r="BB339" i="1" s="1"/>
  <c r="BG339" i="1" s="1"/>
  <c r="AG324" i="1"/>
  <c r="AH324" i="1" s="1"/>
  <c r="BB324" i="1" s="1"/>
  <c r="BG324" i="1" s="1"/>
  <c r="C346" i="1"/>
  <c r="D346" i="1" s="1"/>
  <c r="X346" i="1" s="1"/>
  <c r="AC346" i="1" s="1"/>
  <c r="C329" i="1"/>
  <c r="D329" i="1" s="1"/>
  <c r="X329" i="1" s="1"/>
  <c r="AG335" i="1"/>
  <c r="AH335" i="1" s="1"/>
  <c r="BB335" i="1" s="1"/>
  <c r="BG335" i="1" s="1"/>
  <c r="C342" i="1"/>
  <c r="D342" i="1" s="1"/>
  <c r="X342" i="1" s="1"/>
  <c r="AC342" i="1" s="1"/>
  <c r="C325" i="1"/>
  <c r="D325" i="1" s="1"/>
  <c r="X325" i="1" s="1"/>
  <c r="AC325" i="1" s="1"/>
  <c r="AG331" i="1"/>
  <c r="AH331" i="1" s="1"/>
  <c r="BB331" i="1" s="1"/>
  <c r="BG331" i="1" s="1"/>
  <c r="AG333" i="1"/>
  <c r="AH333" i="1" s="1"/>
  <c r="BB333" i="1" s="1"/>
  <c r="BG333" i="1" s="1"/>
  <c r="C338" i="1"/>
  <c r="D338" i="1" s="1"/>
  <c r="X338" i="1" s="1"/>
  <c r="AC338" i="1" s="1"/>
  <c r="AG344" i="1"/>
  <c r="AH344" i="1" s="1"/>
  <c r="BB344" i="1" s="1"/>
  <c r="BG344" i="1" s="1"/>
  <c r="AG327" i="1"/>
  <c r="AH327" i="1" s="1"/>
  <c r="BB327" i="1" s="1"/>
  <c r="BG327" i="1" s="1"/>
  <c r="C334" i="1"/>
  <c r="D334" i="1" s="1"/>
  <c r="X334" i="1" s="1"/>
  <c r="AC334" i="1" s="1"/>
  <c r="AG340" i="1"/>
  <c r="AH340" i="1" s="1"/>
  <c r="BB340" i="1" s="1"/>
  <c r="BG340" i="1" s="1"/>
  <c r="AG323" i="1"/>
  <c r="AH323" i="1" s="1"/>
  <c r="AG341" i="1"/>
  <c r="AH341" i="1" s="1"/>
  <c r="BB341" i="1" s="1"/>
  <c r="BG341" i="1" s="1"/>
  <c r="C323" i="1"/>
  <c r="D323" i="1" s="1"/>
  <c r="C330" i="1"/>
  <c r="D330" i="1" s="1"/>
  <c r="X330" i="1" s="1"/>
  <c r="AC330" i="1" s="1"/>
  <c r="AG336" i="1"/>
  <c r="AH336" i="1" s="1"/>
  <c r="BB336" i="1" s="1"/>
  <c r="BG336" i="1" s="1"/>
  <c r="C343" i="1"/>
  <c r="D343" i="1" s="1"/>
  <c r="X343" i="1" s="1"/>
  <c r="AC343" i="1" s="1"/>
  <c r="C326" i="1"/>
  <c r="D326" i="1" s="1"/>
  <c r="X326" i="1" s="1"/>
  <c r="AC326" i="1" s="1"/>
  <c r="AG332" i="1"/>
  <c r="AH332" i="1" s="1"/>
  <c r="BB332" i="1" s="1"/>
  <c r="BG332" i="1" s="1"/>
  <c r="C339" i="1"/>
  <c r="D339" i="1" s="1"/>
  <c r="X339" i="1" s="1"/>
  <c r="AC339" i="1" s="1"/>
  <c r="C331" i="1"/>
  <c r="D331" i="1" s="1"/>
  <c r="X331" i="1" s="1"/>
  <c r="AC331" i="1" s="1"/>
  <c r="AG345" i="1"/>
  <c r="AH345" i="1" s="1"/>
  <c r="BB345" i="1" s="1"/>
  <c r="AG337" i="1"/>
  <c r="AH337" i="1" s="1"/>
  <c r="BB337" i="1" s="1"/>
  <c r="BG337" i="1" s="1"/>
  <c r="C344" i="1"/>
  <c r="D344" i="1" s="1"/>
  <c r="X344" i="1" s="1"/>
  <c r="AC344" i="1" s="1"/>
  <c r="C327" i="1"/>
  <c r="D327" i="1" s="1"/>
  <c r="X327" i="1" s="1"/>
  <c r="AC327" i="1" s="1"/>
  <c r="D206" i="1"/>
  <c r="D230" i="1" s="1"/>
  <c r="D231" i="1" s="1"/>
  <c r="AG230" i="1"/>
  <c r="AG231" i="1" s="1"/>
  <c r="AH206" i="1"/>
  <c r="AH228" i="1"/>
  <c r="BB228" i="1" s="1"/>
  <c r="AG234" i="1"/>
  <c r="X233" i="1"/>
  <c r="X236" i="1" s="1"/>
  <c r="AG233" i="1"/>
  <c r="AH212" i="1"/>
  <c r="BB212" i="1" s="1"/>
  <c r="C233" i="1"/>
  <c r="AG188" i="1"/>
  <c r="AH188" i="1" s="1"/>
  <c r="BB188" i="1" s="1"/>
  <c r="BG188" i="1" s="1"/>
  <c r="AG171" i="1"/>
  <c r="AH171" i="1" s="1"/>
  <c r="BB171" i="1" s="1"/>
  <c r="C178" i="1"/>
  <c r="D178" i="1" s="1"/>
  <c r="X178" i="1" s="1"/>
  <c r="AC178" i="1" s="1"/>
  <c r="AG184" i="1"/>
  <c r="AH184" i="1" s="1"/>
  <c r="BB184" i="1" s="1"/>
  <c r="BG184" i="1" s="1"/>
  <c r="AG167" i="1"/>
  <c r="AH167" i="1" s="1"/>
  <c r="BB167" i="1" s="1"/>
  <c r="BG167" i="1" s="1"/>
  <c r="C174" i="1"/>
  <c r="D174" i="1" s="1"/>
  <c r="X174" i="1" s="1"/>
  <c r="AC174" i="1" s="1"/>
  <c r="C182" i="1"/>
  <c r="D182" i="1" s="1"/>
  <c r="X182" i="1" s="1"/>
  <c r="AC182" i="1" s="1"/>
  <c r="AG180" i="1"/>
  <c r="AH180" i="1" s="1"/>
  <c r="BB180" i="1" s="1"/>
  <c r="BG180" i="1" s="1"/>
  <c r="C187" i="1"/>
  <c r="D187" i="1" s="1"/>
  <c r="X187" i="1" s="1"/>
  <c r="C170" i="1"/>
  <c r="D170" i="1" s="1"/>
  <c r="X170" i="1" s="1"/>
  <c r="AC170" i="1" s="1"/>
  <c r="AG176" i="1"/>
  <c r="AH176" i="1" s="1"/>
  <c r="BB176" i="1" s="1"/>
  <c r="BG176" i="1" s="1"/>
  <c r="C183" i="1"/>
  <c r="D183" i="1" s="1"/>
  <c r="X183" i="1" s="1"/>
  <c r="AC183" i="1" s="1"/>
  <c r="C166" i="1"/>
  <c r="D166" i="1" s="1"/>
  <c r="X166" i="1" s="1"/>
  <c r="AC166" i="1" s="1"/>
  <c r="AG175" i="1"/>
  <c r="AH175" i="1" s="1"/>
  <c r="BB175" i="1" s="1"/>
  <c r="BG175" i="1" s="1"/>
  <c r="AG172" i="1"/>
  <c r="AH172" i="1" s="1"/>
  <c r="BB172" i="1" s="1"/>
  <c r="BG172" i="1" s="1"/>
  <c r="C179" i="1"/>
  <c r="D179" i="1" s="1"/>
  <c r="X179" i="1" s="1"/>
  <c r="AC179" i="1" s="1"/>
  <c r="AG185" i="1"/>
  <c r="AH185" i="1" s="1"/>
  <c r="BB185" i="1" s="1"/>
  <c r="BG185" i="1" s="1"/>
  <c r="AG168" i="1"/>
  <c r="AH168" i="1" s="1"/>
  <c r="BB168" i="1" s="1"/>
  <c r="BG168" i="1" s="1"/>
  <c r="C175" i="1"/>
  <c r="D175" i="1" s="1"/>
  <c r="X175" i="1" s="1"/>
  <c r="AC175" i="1" s="1"/>
  <c r="AG181" i="1"/>
  <c r="AH181" i="1" s="1"/>
  <c r="BB181" i="1" s="1"/>
  <c r="BG181" i="1" s="1"/>
  <c r="C165" i="1"/>
  <c r="D165" i="1" s="1"/>
  <c r="C188" i="1"/>
  <c r="D188" i="1" s="1"/>
  <c r="X188" i="1" s="1"/>
  <c r="AC188" i="1" s="1"/>
  <c r="C171" i="1"/>
  <c r="D171" i="1" s="1"/>
  <c r="X171" i="1" s="1"/>
  <c r="AG177" i="1"/>
  <c r="AH177" i="1" s="1"/>
  <c r="BB177" i="1" s="1"/>
  <c r="BG177" i="1" s="1"/>
  <c r="C184" i="1"/>
  <c r="D184" i="1" s="1"/>
  <c r="X184" i="1" s="1"/>
  <c r="AC184" i="1" s="1"/>
  <c r="C167" i="1"/>
  <c r="D167" i="1" s="1"/>
  <c r="X167" i="1" s="1"/>
  <c r="AC167" i="1" s="1"/>
  <c r="AG173" i="1"/>
  <c r="AH173" i="1" s="1"/>
  <c r="BB173" i="1" s="1"/>
  <c r="BG173" i="1" s="1"/>
  <c r="C180" i="1"/>
  <c r="D180" i="1" s="1"/>
  <c r="X180" i="1" s="1"/>
  <c r="AC180" i="1" s="1"/>
  <c r="AG186" i="1"/>
  <c r="AH186" i="1" s="1"/>
  <c r="BB186" i="1" s="1"/>
  <c r="BG186" i="1" s="1"/>
  <c r="AG169" i="1"/>
  <c r="AH169" i="1" s="1"/>
  <c r="BB169" i="1" s="1"/>
  <c r="BG169" i="1" s="1"/>
  <c r="C176" i="1"/>
  <c r="D176" i="1" s="1"/>
  <c r="X176" i="1" s="1"/>
  <c r="AC176" i="1" s="1"/>
  <c r="AG182" i="1"/>
  <c r="AH182" i="1" s="1"/>
  <c r="BB182" i="1" s="1"/>
  <c r="BG182" i="1" s="1"/>
  <c r="AG165" i="1"/>
  <c r="AH165" i="1" s="1"/>
  <c r="C186" i="1"/>
  <c r="D186" i="1" s="1"/>
  <c r="X186" i="1" s="1"/>
  <c r="AC186" i="1" s="1"/>
  <c r="C172" i="1"/>
  <c r="D172" i="1" s="1"/>
  <c r="X172" i="1" s="1"/>
  <c r="AC172" i="1" s="1"/>
  <c r="AG178" i="1"/>
  <c r="AH178" i="1" s="1"/>
  <c r="BB178" i="1" s="1"/>
  <c r="BG178" i="1" s="1"/>
  <c r="C185" i="1"/>
  <c r="D185" i="1" s="1"/>
  <c r="X185" i="1" s="1"/>
  <c r="AC185" i="1" s="1"/>
  <c r="C168" i="1"/>
  <c r="D168" i="1" s="1"/>
  <c r="X168" i="1" s="1"/>
  <c r="AC168" i="1" s="1"/>
  <c r="AG174" i="1"/>
  <c r="AH174" i="1" s="1"/>
  <c r="BB174" i="1" s="1"/>
  <c r="BG174" i="1" s="1"/>
  <c r="C181" i="1"/>
  <c r="D181" i="1" s="1"/>
  <c r="X181" i="1" s="1"/>
  <c r="AC181" i="1" s="1"/>
  <c r="C169" i="1"/>
  <c r="D169" i="1" s="1"/>
  <c r="X169" i="1" s="1"/>
  <c r="AC169" i="1" s="1"/>
  <c r="AG187" i="1"/>
  <c r="AH187" i="1" s="1"/>
  <c r="BB187" i="1" s="1"/>
  <c r="BG187" i="1" s="1"/>
  <c r="AG170" i="1"/>
  <c r="AH170" i="1" s="1"/>
  <c r="BB170" i="1" s="1"/>
  <c r="BG170" i="1" s="1"/>
  <c r="C177" i="1"/>
  <c r="D177" i="1" s="1"/>
  <c r="X177" i="1" s="1"/>
  <c r="AC177" i="1" s="1"/>
  <c r="AG183" i="1"/>
  <c r="AH183" i="1" s="1"/>
  <c r="BB183" i="1" s="1"/>
  <c r="BG183" i="1" s="1"/>
  <c r="AG166" i="1"/>
  <c r="AH166" i="1" s="1"/>
  <c r="BB166" i="1" s="1"/>
  <c r="BG166" i="1" s="1"/>
  <c r="C173" i="1"/>
  <c r="D173" i="1" s="1"/>
  <c r="X173" i="1" s="1"/>
  <c r="AC173" i="1" s="1"/>
  <c r="AG179" i="1"/>
  <c r="AH179" i="1" s="1"/>
  <c r="BB179" i="1" s="1"/>
  <c r="BG179" i="1" s="1"/>
  <c r="AG148" i="1"/>
  <c r="AH148" i="1" s="1"/>
  <c r="BB148" i="1" s="1"/>
  <c r="BG148" i="1" s="1"/>
  <c r="AG131" i="1"/>
  <c r="AH131" i="1" s="1"/>
  <c r="BB131" i="1" s="1"/>
  <c r="C138" i="1"/>
  <c r="D138" i="1" s="1"/>
  <c r="X138" i="1" s="1"/>
  <c r="AC138" i="1" s="1"/>
  <c r="AG144" i="1"/>
  <c r="AH144" i="1" s="1"/>
  <c r="BB144" i="1" s="1"/>
  <c r="BG144" i="1" s="1"/>
  <c r="AG127" i="1"/>
  <c r="AH127" i="1" s="1"/>
  <c r="BB127" i="1" s="1"/>
  <c r="BG127" i="1" s="1"/>
  <c r="C134" i="1"/>
  <c r="D134" i="1" s="1"/>
  <c r="X134" i="1" s="1"/>
  <c r="AC134" i="1" s="1"/>
  <c r="AG140" i="1"/>
  <c r="AH140" i="1" s="1"/>
  <c r="BB140" i="1" s="1"/>
  <c r="BG140" i="1" s="1"/>
  <c r="C147" i="1"/>
  <c r="D147" i="1" s="1"/>
  <c r="X147" i="1" s="1"/>
  <c r="C130" i="1"/>
  <c r="D130" i="1" s="1"/>
  <c r="X130" i="1" s="1"/>
  <c r="AC130" i="1" s="1"/>
  <c r="AG136" i="1"/>
  <c r="AH136" i="1" s="1"/>
  <c r="BB136" i="1" s="1"/>
  <c r="BG136" i="1" s="1"/>
  <c r="C143" i="1"/>
  <c r="D143" i="1" s="1"/>
  <c r="X143" i="1" s="1"/>
  <c r="AC143" i="1" s="1"/>
  <c r="C126" i="1"/>
  <c r="D126" i="1" s="1"/>
  <c r="X126" i="1" s="1"/>
  <c r="AC126" i="1" s="1"/>
  <c r="AG132" i="1"/>
  <c r="AH132" i="1" s="1"/>
  <c r="BB132" i="1" s="1"/>
  <c r="BG132" i="1" s="1"/>
  <c r="C139" i="1"/>
  <c r="D139" i="1" s="1"/>
  <c r="X139" i="1" s="1"/>
  <c r="AC139" i="1" s="1"/>
  <c r="AG145" i="1"/>
  <c r="AH145" i="1" s="1"/>
  <c r="BB145" i="1" s="1"/>
  <c r="BG145" i="1" s="1"/>
  <c r="AG128" i="1"/>
  <c r="AH128" i="1" s="1"/>
  <c r="BB128" i="1" s="1"/>
  <c r="BG128" i="1" s="1"/>
  <c r="C135" i="1"/>
  <c r="D135" i="1" s="1"/>
  <c r="X135" i="1" s="1"/>
  <c r="AC135" i="1" s="1"/>
  <c r="AG141" i="1"/>
  <c r="AH141" i="1" s="1"/>
  <c r="BB141" i="1" s="1"/>
  <c r="BG141" i="1" s="1"/>
  <c r="C148" i="1"/>
  <c r="D148" i="1" s="1"/>
  <c r="X148" i="1" s="1"/>
  <c r="AC148" i="1" s="1"/>
  <c r="C131" i="1"/>
  <c r="D131" i="1" s="1"/>
  <c r="X131" i="1" s="1"/>
  <c r="AG137" i="1"/>
  <c r="AH137" i="1" s="1"/>
  <c r="BB137" i="1" s="1"/>
  <c r="BG137" i="1" s="1"/>
  <c r="C144" i="1"/>
  <c r="D144" i="1" s="1"/>
  <c r="X144" i="1" s="1"/>
  <c r="AC144" i="1" s="1"/>
  <c r="C127" i="1"/>
  <c r="D127" i="1" s="1"/>
  <c r="X127" i="1" s="1"/>
  <c r="AC127" i="1" s="1"/>
  <c r="AG133" i="1"/>
  <c r="AH133" i="1" s="1"/>
  <c r="BB133" i="1" s="1"/>
  <c r="BG133" i="1" s="1"/>
  <c r="C140" i="1"/>
  <c r="D140" i="1" s="1"/>
  <c r="X140" i="1" s="1"/>
  <c r="AC140" i="1" s="1"/>
  <c r="AG146" i="1"/>
  <c r="AH146" i="1" s="1"/>
  <c r="BB146" i="1" s="1"/>
  <c r="BG146" i="1" s="1"/>
  <c r="AG129" i="1"/>
  <c r="AH129" i="1" s="1"/>
  <c r="BB129" i="1" s="1"/>
  <c r="BG129" i="1" s="1"/>
  <c r="C136" i="1"/>
  <c r="D136" i="1" s="1"/>
  <c r="X136" i="1" s="1"/>
  <c r="AC136" i="1" s="1"/>
  <c r="AG142" i="1"/>
  <c r="AH142" i="1" s="1"/>
  <c r="BB142" i="1" s="1"/>
  <c r="BG142" i="1" s="1"/>
  <c r="AG125" i="1"/>
  <c r="AH125" i="1" s="1"/>
  <c r="C132" i="1"/>
  <c r="D132" i="1" s="1"/>
  <c r="X132" i="1" s="1"/>
  <c r="AC132" i="1" s="1"/>
  <c r="AG138" i="1"/>
  <c r="AH138" i="1" s="1"/>
  <c r="BB138" i="1" s="1"/>
  <c r="BG138" i="1" s="1"/>
  <c r="C145" i="1"/>
  <c r="D145" i="1" s="1"/>
  <c r="X145" i="1" s="1"/>
  <c r="AC145" i="1" s="1"/>
  <c r="C128" i="1"/>
  <c r="D128" i="1" s="1"/>
  <c r="X128" i="1" s="1"/>
  <c r="AC128" i="1" s="1"/>
  <c r="AG134" i="1"/>
  <c r="AH134" i="1" s="1"/>
  <c r="BB134" i="1" s="1"/>
  <c r="BG134" i="1" s="1"/>
  <c r="C141" i="1"/>
  <c r="D141" i="1" s="1"/>
  <c r="X141" i="1" s="1"/>
  <c r="AC141" i="1" s="1"/>
  <c r="AG147" i="1"/>
  <c r="AH147" i="1" s="1"/>
  <c r="BB147" i="1" s="1"/>
  <c r="AG130" i="1"/>
  <c r="AH130" i="1" s="1"/>
  <c r="BB130" i="1" s="1"/>
  <c r="BG130" i="1" s="1"/>
  <c r="C137" i="1"/>
  <c r="D137" i="1" s="1"/>
  <c r="X137" i="1" s="1"/>
  <c r="AC137" i="1" s="1"/>
  <c r="AG143" i="1"/>
  <c r="AH143" i="1" s="1"/>
  <c r="BB143" i="1" s="1"/>
  <c r="BG143" i="1" s="1"/>
  <c r="AG126" i="1"/>
  <c r="AH126" i="1" s="1"/>
  <c r="BB126" i="1" s="1"/>
  <c r="BG126" i="1" s="1"/>
  <c r="C133" i="1"/>
  <c r="D133" i="1" s="1"/>
  <c r="X133" i="1" s="1"/>
  <c r="AC133" i="1" s="1"/>
  <c r="AG139" i="1"/>
  <c r="AH139" i="1" s="1"/>
  <c r="BB139" i="1" s="1"/>
  <c r="BG139" i="1" s="1"/>
  <c r="C146" i="1"/>
  <c r="D146" i="1" s="1"/>
  <c r="X146" i="1" s="1"/>
  <c r="AC146" i="1" s="1"/>
  <c r="C129" i="1"/>
  <c r="D129" i="1" s="1"/>
  <c r="X129" i="1" s="1"/>
  <c r="AC129" i="1" s="1"/>
  <c r="AG135" i="1"/>
  <c r="AH135" i="1" s="1"/>
  <c r="BB135" i="1" s="1"/>
  <c r="BG135" i="1" s="1"/>
  <c r="C142" i="1"/>
  <c r="D142" i="1" s="1"/>
  <c r="X142" i="1" s="1"/>
  <c r="AC142" i="1" s="1"/>
  <c r="C125" i="1"/>
  <c r="D125" i="1" s="1"/>
  <c r="AG108" i="1"/>
  <c r="AH108" i="1" s="1"/>
  <c r="BB108" i="1" s="1"/>
  <c r="BG108" i="1" s="1"/>
  <c r="AG91" i="1"/>
  <c r="AH91" i="1" s="1"/>
  <c r="BB91" i="1" s="1"/>
  <c r="C98" i="1"/>
  <c r="D98" i="1" s="1"/>
  <c r="X98" i="1" s="1"/>
  <c r="AC98" i="1" s="1"/>
  <c r="AG104" i="1"/>
  <c r="AH104" i="1" s="1"/>
  <c r="BB104" i="1" s="1"/>
  <c r="BG104" i="1" s="1"/>
  <c r="AG87" i="1"/>
  <c r="AH87" i="1" s="1"/>
  <c r="BB87" i="1" s="1"/>
  <c r="BG87" i="1" s="1"/>
  <c r="C94" i="1"/>
  <c r="D94" i="1" s="1"/>
  <c r="X94" i="1" s="1"/>
  <c r="AC94" i="1" s="1"/>
  <c r="AG100" i="1"/>
  <c r="AH100" i="1" s="1"/>
  <c r="BB100" i="1" s="1"/>
  <c r="BG100" i="1" s="1"/>
  <c r="C85" i="1"/>
  <c r="D85" i="1" s="1"/>
  <c r="AG92" i="1"/>
  <c r="AH92" i="1" s="1"/>
  <c r="BB92" i="1" s="1"/>
  <c r="BG92" i="1" s="1"/>
  <c r="C99" i="1"/>
  <c r="D99" i="1" s="1"/>
  <c r="X99" i="1" s="1"/>
  <c r="AC99" i="1" s="1"/>
  <c r="AG105" i="1"/>
  <c r="AH105" i="1" s="1"/>
  <c r="BB105" i="1" s="1"/>
  <c r="BG105" i="1" s="1"/>
  <c r="AG88" i="1"/>
  <c r="AH88" i="1" s="1"/>
  <c r="BB88" i="1" s="1"/>
  <c r="BG88" i="1" s="1"/>
  <c r="C95" i="1"/>
  <c r="D95" i="1" s="1"/>
  <c r="X95" i="1" s="1"/>
  <c r="AC95" i="1" s="1"/>
  <c r="AG101" i="1"/>
  <c r="AH101" i="1" s="1"/>
  <c r="BB101" i="1" s="1"/>
  <c r="BG101" i="1" s="1"/>
  <c r="AG98" i="1"/>
  <c r="AH98" i="1" s="1"/>
  <c r="BB98" i="1" s="1"/>
  <c r="BG98" i="1" s="1"/>
  <c r="AG94" i="1"/>
  <c r="AH94" i="1" s="1"/>
  <c r="BB94" i="1" s="1"/>
  <c r="BG94" i="1" s="1"/>
  <c r="C108" i="1"/>
  <c r="D108" i="1" s="1"/>
  <c r="X108" i="1" s="1"/>
  <c r="AC108" i="1" s="1"/>
  <c r="C91" i="1"/>
  <c r="D91" i="1" s="1"/>
  <c r="X91" i="1" s="1"/>
  <c r="AG97" i="1"/>
  <c r="AH97" i="1" s="1"/>
  <c r="BB97" i="1" s="1"/>
  <c r="BG97" i="1" s="1"/>
  <c r="C104" i="1"/>
  <c r="D104" i="1" s="1"/>
  <c r="X104" i="1" s="1"/>
  <c r="AC104" i="1" s="1"/>
  <c r="C87" i="1"/>
  <c r="D87" i="1" s="1"/>
  <c r="X87" i="1" s="1"/>
  <c r="AC87" i="1" s="1"/>
  <c r="AG93" i="1"/>
  <c r="AH93" i="1" s="1"/>
  <c r="BB93" i="1" s="1"/>
  <c r="BG93" i="1" s="1"/>
  <c r="C92" i="1"/>
  <c r="D92" i="1" s="1"/>
  <c r="X92" i="1" s="1"/>
  <c r="AC92" i="1" s="1"/>
  <c r="C88" i="1"/>
  <c r="D88" i="1" s="1"/>
  <c r="X88" i="1" s="1"/>
  <c r="AC88" i="1" s="1"/>
  <c r="C100" i="1"/>
  <c r="D100" i="1" s="1"/>
  <c r="X100" i="1" s="1"/>
  <c r="AC100" i="1" s="1"/>
  <c r="AG106" i="1"/>
  <c r="AH106" i="1" s="1"/>
  <c r="BB106" i="1" s="1"/>
  <c r="BG106" i="1" s="1"/>
  <c r="AG89" i="1"/>
  <c r="AH89" i="1" s="1"/>
  <c r="BB89" i="1" s="1"/>
  <c r="BG89" i="1" s="1"/>
  <c r="C96" i="1"/>
  <c r="D96" i="1" s="1"/>
  <c r="X96" i="1" s="1"/>
  <c r="AC96" i="1" s="1"/>
  <c r="AG102" i="1"/>
  <c r="AH102" i="1" s="1"/>
  <c r="BB102" i="1" s="1"/>
  <c r="BG102" i="1" s="1"/>
  <c r="AG85" i="1"/>
  <c r="C105" i="1"/>
  <c r="D105" i="1" s="1"/>
  <c r="X105" i="1" s="1"/>
  <c r="AC105" i="1" s="1"/>
  <c r="C101" i="1"/>
  <c r="D101" i="1" s="1"/>
  <c r="X101" i="1" s="1"/>
  <c r="AC101" i="1" s="1"/>
  <c r="AG107" i="1"/>
  <c r="AH107" i="1" s="1"/>
  <c r="BB107" i="1" s="1"/>
  <c r="AG90" i="1"/>
  <c r="AH90" i="1" s="1"/>
  <c r="BB90" i="1" s="1"/>
  <c r="BG90" i="1" s="1"/>
  <c r="C97" i="1"/>
  <c r="D97" i="1" s="1"/>
  <c r="X97" i="1" s="1"/>
  <c r="AC97" i="1" s="1"/>
  <c r="AG103" i="1"/>
  <c r="AH103" i="1" s="1"/>
  <c r="BB103" i="1" s="1"/>
  <c r="BG103" i="1" s="1"/>
  <c r="AG86" i="1"/>
  <c r="AH86" i="1" s="1"/>
  <c r="BB86" i="1" s="1"/>
  <c r="BG86" i="1" s="1"/>
  <c r="C93" i="1"/>
  <c r="D93" i="1" s="1"/>
  <c r="X93" i="1" s="1"/>
  <c r="AC93" i="1" s="1"/>
  <c r="C90" i="1"/>
  <c r="D90" i="1" s="1"/>
  <c r="X90" i="1" s="1"/>
  <c r="AC90" i="1" s="1"/>
  <c r="C103" i="1"/>
  <c r="D103" i="1" s="1"/>
  <c r="X103" i="1" s="1"/>
  <c r="AC103" i="1" s="1"/>
  <c r="AG99" i="1"/>
  <c r="AH99" i="1" s="1"/>
  <c r="BB99" i="1" s="1"/>
  <c r="BG99" i="1" s="1"/>
  <c r="C106" i="1"/>
  <c r="D106" i="1" s="1"/>
  <c r="X106" i="1" s="1"/>
  <c r="AC106" i="1" s="1"/>
  <c r="C89" i="1"/>
  <c r="D89" i="1" s="1"/>
  <c r="X89" i="1" s="1"/>
  <c r="AC89" i="1" s="1"/>
  <c r="AG95" i="1"/>
  <c r="AH95" i="1" s="1"/>
  <c r="BB95" i="1" s="1"/>
  <c r="BG95" i="1" s="1"/>
  <c r="C102" i="1"/>
  <c r="D102" i="1" s="1"/>
  <c r="X102" i="1" s="1"/>
  <c r="AC102" i="1" s="1"/>
  <c r="C86" i="1"/>
  <c r="D86" i="1" s="1"/>
  <c r="X86" i="1" s="1"/>
  <c r="AC86" i="1" s="1"/>
  <c r="C107" i="1"/>
  <c r="D107" i="1" s="1"/>
  <c r="X107" i="1" s="1"/>
  <c r="AG96" i="1"/>
  <c r="AH96" i="1" s="1"/>
  <c r="BB96" i="1" s="1"/>
  <c r="BG96" i="1" s="1"/>
  <c r="AG68" i="1"/>
  <c r="AH68" i="1" s="1"/>
  <c r="BB68" i="1" s="1"/>
  <c r="BG68" i="1" s="1"/>
  <c r="AG51" i="1"/>
  <c r="AH51" i="1" s="1"/>
  <c r="BB51" i="1" s="1"/>
  <c r="C58" i="1"/>
  <c r="D58" i="1" s="1"/>
  <c r="AG64" i="1"/>
  <c r="AH64" i="1" s="1"/>
  <c r="BB64" i="1" s="1"/>
  <c r="BG64" i="1" s="1"/>
  <c r="AG47" i="1"/>
  <c r="AH47" i="1" s="1"/>
  <c r="BB47" i="1" s="1"/>
  <c r="BG47" i="1" s="1"/>
  <c r="C54" i="1"/>
  <c r="D54" i="1" s="1"/>
  <c r="C45" i="1"/>
  <c r="AG60" i="1"/>
  <c r="AH60" i="1" s="1"/>
  <c r="BB60" i="1" s="1"/>
  <c r="BG60" i="1" s="1"/>
  <c r="C67" i="1"/>
  <c r="D67" i="1" s="1"/>
  <c r="C50" i="1"/>
  <c r="D50" i="1" s="1"/>
  <c r="AG56" i="1"/>
  <c r="AH56" i="1" s="1"/>
  <c r="BB56" i="1" s="1"/>
  <c r="BG56" i="1" s="1"/>
  <c r="C63" i="1"/>
  <c r="D63" i="1" s="1"/>
  <c r="C46" i="1"/>
  <c r="D46" i="1" s="1"/>
  <c r="X46" i="1" s="1"/>
  <c r="AC46" i="1" s="1"/>
  <c r="AG59" i="1"/>
  <c r="AH59" i="1" s="1"/>
  <c r="BB59" i="1" s="1"/>
  <c r="BG59" i="1" s="1"/>
  <c r="AG55" i="1"/>
  <c r="AH55" i="1" s="1"/>
  <c r="BB55" i="1" s="1"/>
  <c r="BG55" i="1" s="1"/>
  <c r="AG52" i="1"/>
  <c r="AH52" i="1" s="1"/>
  <c r="BB52" i="1" s="1"/>
  <c r="BG52" i="1" s="1"/>
  <c r="C59" i="1"/>
  <c r="D59" i="1" s="1"/>
  <c r="AG65" i="1"/>
  <c r="AH65" i="1" s="1"/>
  <c r="BB65" i="1" s="1"/>
  <c r="BG65" i="1" s="1"/>
  <c r="AG48" i="1"/>
  <c r="AH48" i="1" s="1"/>
  <c r="BB48" i="1" s="1"/>
  <c r="BG48" i="1" s="1"/>
  <c r="C55" i="1"/>
  <c r="D55" i="1" s="1"/>
  <c r="AG61" i="1"/>
  <c r="AH61" i="1" s="1"/>
  <c r="BB61" i="1" s="1"/>
  <c r="BG61" i="1" s="1"/>
  <c r="C68" i="1"/>
  <c r="D68" i="1" s="1"/>
  <c r="C51" i="1"/>
  <c r="D51" i="1" s="1"/>
  <c r="AG57" i="1"/>
  <c r="AH57" i="1" s="1"/>
  <c r="BB57" i="1" s="1"/>
  <c r="BG57" i="1" s="1"/>
  <c r="C64" i="1"/>
  <c r="D64" i="1" s="1"/>
  <c r="C47" i="1"/>
  <c r="D47" i="1" s="1"/>
  <c r="X47" i="1" s="1"/>
  <c r="AG53" i="1"/>
  <c r="AH53" i="1" s="1"/>
  <c r="BB53" i="1" s="1"/>
  <c r="BG53" i="1" s="1"/>
  <c r="C66" i="1"/>
  <c r="D66" i="1" s="1"/>
  <c r="C60" i="1"/>
  <c r="D60" i="1" s="1"/>
  <c r="AG66" i="1"/>
  <c r="AH66" i="1" s="1"/>
  <c r="BB66" i="1" s="1"/>
  <c r="BG66" i="1" s="1"/>
  <c r="AG49" i="1"/>
  <c r="AH49" i="1" s="1"/>
  <c r="BB49" i="1" s="1"/>
  <c r="BG49" i="1" s="1"/>
  <c r="C56" i="1"/>
  <c r="D56" i="1" s="1"/>
  <c r="AG62" i="1"/>
  <c r="AH62" i="1" s="1"/>
  <c r="BB62" i="1" s="1"/>
  <c r="BG62" i="1" s="1"/>
  <c r="AG45" i="1"/>
  <c r="AH45" i="1" s="1"/>
  <c r="C52" i="1"/>
  <c r="D52" i="1" s="1"/>
  <c r="AG58" i="1"/>
  <c r="AH58" i="1" s="1"/>
  <c r="BB58" i="1" s="1"/>
  <c r="BG58" i="1" s="1"/>
  <c r="C65" i="1"/>
  <c r="D65" i="1" s="1"/>
  <c r="C48" i="1"/>
  <c r="D48" i="1" s="1"/>
  <c r="AG54" i="1"/>
  <c r="AH54" i="1" s="1"/>
  <c r="BB54" i="1" s="1"/>
  <c r="BG54" i="1" s="1"/>
  <c r="C61" i="1"/>
  <c r="D61" i="1" s="1"/>
  <c r="C62" i="1"/>
  <c r="D62" i="1" s="1"/>
  <c r="AG67" i="1"/>
  <c r="AH67" i="1" s="1"/>
  <c r="BB67" i="1" s="1"/>
  <c r="AG50" i="1"/>
  <c r="AH50" i="1" s="1"/>
  <c r="BB50" i="1" s="1"/>
  <c r="BG50" i="1" s="1"/>
  <c r="C57" i="1"/>
  <c r="D57" i="1" s="1"/>
  <c r="AG63" i="1"/>
  <c r="AH63" i="1" s="1"/>
  <c r="BB63" i="1" s="1"/>
  <c r="BG63" i="1" s="1"/>
  <c r="AG46" i="1"/>
  <c r="AH46" i="1" s="1"/>
  <c r="BB46" i="1" s="1"/>
  <c r="BG46" i="1" s="1"/>
  <c r="C53" i="1"/>
  <c r="D53" i="1" s="1"/>
  <c r="C49" i="1"/>
  <c r="D49" i="1" s="1"/>
  <c r="J476" i="1"/>
  <c r="J125" i="10"/>
  <c r="C125" i="10"/>
  <c r="J110" i="10"/>
  <c r="D477" i="1"/>
  <c r="D478" i="1"/>
  <c r="J240" i="1"/>
  <c r="D80" i="10"/>
  <c r="J237" i="1"/>
  <c r="U69" i="10"/>
  <c r="K170" i="10"/>
  <c r="J170" i="10" s="1"/>
  <c r="C170" i="10"/>
  <c r="N40" i="7"/>
  <c r="N41" i="7" s="1"/>
  <c r="N42" i="7" s="1"/>
  <c r="N44" i="7" s="1"/>
  <c r="M40" i="7"/>
  <c r="M41" i="7" s="1"/>
  <c r="M42" i="7" s="1"/>
  <c r="M44" i="7" s="1"/>
  <c r="L40" i="7"/>
  <c r="L41" i="7" s="1"/>
  <c r="L42" i="7" s="1"/>
  <c r="L44" i="7" s="1"/>
  <c r="H40" i="7"/>
  <c r="H41" i="7" s="1"/>
  <c r="H42" i="7" s="1"/>
  <c r="H44" i="7" s="1"/>
  <c r="G40" i="7"/>
  <c r="G41" i="7" s="1"/>
  <c r="G42" i="7" s="1"/>
  <c r="G44" i="7" s="1"/>
  <c r="F40" i="7"/>
  <c r="F41" i="7" s="1"/>
  <c r="F42" i="7" s="1"/>
  <c r="F44" i="7" s="1"/>
  <c r="U187" i="10"/>
  <c r="P39" i="7"/>
  <c r="J119" i="1"/>
  <c r="D35" i="10"/>
  <c r="B185" i="10"/>
  <c r="I185" i="10" s="1"/>
  <c r="I5" i="10"/>
  <c r="J393" i="1"/>
  <c r="J276" i="1"/>
  <c r="B7" i="8"/>
  <c r="F29" i="8"/>
  <c r="AC212" i="1"/>
  <c r="C269" i="1"/>
  <c r="C270" i="1" s="1"/>
  <c r="D245" i="1"/>
  <c r="AH251" i="1"/>
  <c r="BB251" i="1" s="1"/>
  <c r="AG272" i="1"/>
  <c r="C272" i="1"/>
  <c r="D251" i="1"/>
  <c r="X251" i="1" s="1"/>
  <c r="C273" i="1"/>
  <c r="D267" i="1"/>
  <c r="X267" i="1" s="1"/>
  <c r="AG269" i="1"/>
  <c r="AG270" i="1" s="1"/>
  <c r="AH245" i="1"/>
  <c r="AH267" i="1"/>
  <c r="BB267" i="1" s="1"/>
  <c r="AG273" i="1"/>
  <c r="D345" i="1"/>
  <c r="X345" i="1" s="1"/>
  <c r="AH290" i="1"/>
  <c r="BB290" i="1" s="1"/>
  <c r="AG311" i="1"/>
  <c r="AG312" i="1"/>
  <c r="AH306" i="1"/>
  <c r="BB306" i="1" s="1"/>
  <c r="AH284" i="1"/>
  <c r="AG308" i="1"/>
  <c r="AG309" i="1" s="1"/>
  <c r="C311" i="1"/>
  <c r="D290" i="1"/>
  <c r="X290" i="1" s="1"/>
  <c r="D284" i="1"/>
  <c r="C308" i="1"/>
  <c r="C309" i="1" s="1"/>
  <c r="C312" i="1"/>
  <c r="D306" i="1"/>
  <c r="X306" i="1" s="1"/>
  <c r="D45" i="1"/>
  <c r="D41" i="7"/>
  <c r="J39" i="1"/>
  <c r="H476" i="1"/>
  <c r="H474" i="1" s="1"/>
  <c r="Y491" i="1"/>
  <c r="G476" i="1"/>
  <c r="G474" i="1" s="1"/>
  <c r="F474" i="1"/>
  <c r="J478" i="1"/>
  <c r="M478" i="1" s="1"/>
  <c r="J159" i="1"/>
  <c r="X206" i="1" l="1"/>
  <c r="D50" i="10"/>
  <c r="K5" i="10"/>
  <c r="T49" i="10"/>
  <c r="U184" i="10"/>
  <c r="T184" i="10" s="1"/>
  <c r="AC337" i="1"/>
  <c r="Y350" i="1"/>
  <c r="Y351" i="1" s="1"/>
  <c r="AG470" i="1"/>
  <c r="C193" i="1"/>
  <c r="AG347" i="1"/>
  <c r="AG348" i="1" s="1"/>
  <c r="AG193" i="1"/>
  <c r="C350" i="1"/>
  <c r="AG113" i="1"/>
  <c r="AG469" i="1"/>
  <c r="C470" i="1"/>
  <c r="C469" i="1"/>
  <c r="C466" i="1"/>
  <c r="C467" i="1" s="1"/>
  <c r="AG466" i="1"/>
  <c r="AG467" i="1" s="1"/>
  <c r="C425" i="1"/>
  <c r="C426" i="1" s="1"/>
  <c r="D401" i="1"/>
  <c r="AH423" i="1"/>
  <c r="BB423" i="1" s="1"/>
  <c r="BG423" i="1" s="1"/>
  <c r="AG429" i="1"/>
  <c r="AH401" i="1"/>
  <c r="AG425" i="1"/>
  <c r="AG426" i="1" s="1"/>
  <c r="C428" i="1"/>
  <c r="D407" i="1"/>
  <c r="X407" i="1" s="1"/>
  <c r="AH407" i="1"/>
  <c r="BB407" i="1" s="1"/>
  <c r="AG428" i="1"/>
  <c r="C429" i="1"/>
  <c r="D423" i="1"/>
  <c r="X423" i="1" s="1"/>
  <c r="AC423" i="1" s="1"/>
  <c r="D384" i="1"/>
  <c r="X384" i="1" s="1"/>
  <c r="AC384" i="1" s="1"/>
  <c r="C390" i="1"/>
  <c r="C389" i="1"/>
  <c r="D368" i="1"/>
  <c r="X368" i="1" s="1"/>
  <c r="C386" i="1"/>
  <c r="C387" i="1" s="1"/>
  <c r="D362" i="1"/>
  <c r="AH362" i="1"/>
  <c r="AG386" i="1"/>
  <c r="AG387" i="1" s="1"/>
  <c r="AG389" i="1"/>
  <c r="AH368" i="1"/>
  <c r="BB368" i="1" s="1"/>
  <c r="AG390" i="1"/>
  <c r="AH384" i="1"/>
  <c r="BB384" i="1" s="1"/>
  <c r="BG384" i="1" s="1"/>
  <c r="C347" i="1"/>
  <c r="C348" i="1" s="1"/>
  <c r="AG351" i="1"/>
  <c r="AG350" i="1"/>
  <c r="C351" i="1"/>
  <c r="BG212" i="1"/>
  <c r="BB233" i="1"/>
  <c r="BB236" i="1" s="1"/>
  <c r="BG228" i="1"/>
  <c r="BB206" i="1"/>
  <c r="AH230" i="1"/>
  <c r="AH231" i="1" s="1"/>
  <c r="D236" i="1" s="1"/>
  <c r="AG192" i="1"/>
  <c r="AG189" i="1"/>
  <c r="AG190" i="1" s="1"/>
  <c r="C192" i="1"/>
  <c r="C189" i="1"/>
  <c r="C190" i="1" s="1"/>
  <c r="AG153" i="1"/>
  <c r="C149" i="1"/>
  <c r="C150" i="1" s="1"/>
  <c r="C152" i="1"/>
  <c r="C153" i="1"/>
  <c r="AG149" i="1"/>
  <c r="AG150" i="1" s="1"/>
  <c r="AG152" i="1"/>
  <c r="C113" i="1"/>
  <c r="AH85" i="1"/>
  <c r="BB85" i="1" s="1"/>
  <c r="AG112" i="1"/>
  <c r="C112" i="1"/>
  <c r="AG109" i="1"/>
  <c r="AG110" i="1" s="1"/>
  <c r="C109" i="1"/>
  <c r="C110" i="1" s="1"/>
  <c r="C73" i="1"/>
  <c r="C69" i="1"/>
  <c r="C70" i="1" s="1"/>
  <c r="AG72" i="1"/>
  <c r="C72" i="1"/>
  <c r="AG73" i="1"/>
  <c r="AG69" i="1"/>
  <c r="AG70" i="1" s="1"/>
  <c r="K80" i="10"/>
  <c r="J80" i="10" s="1"/>
  <c r="C80" i="10"/>
  <c r="J199" i="1"/>
  <c r="D65" i="10"/>
  <c r="T69" i="10"/>
  <c r="U189" i="10"/>
  <c r="P40" i="7"/>
  <c r="C35" i="10"/>
  <c r="K35" i="10"/>
  <c r="J35" i="10" s="1"/>
  <c r="J5" i="10"/>
  <c r="J156" i="1"/>
  <c r="J482" i="1"/>
  <c r="J484" i="1" s="1"/>
  <c r="K237" i="1"/>
  <c r="AC206" i="1"/>
  <c r="AC230" i="1" s="1"/>
  <c r="X232" i="1"/>
  <c r="X235" i="1" s="1"/>
  <c r="X231" i="1"/>
  <c r="Y231" i="1" s="1"/>
  <c r="X230" i="1"/>
  <c r="AC267" i="1"/>
  <c r="AC251" i="1"/>
  <c r="X272" i="1"/>
  <c r="X275" i="1" s="1"/>
  <c r="BG267" i="1"/>
  <c r="BB272" i="1"/>
  <c r="BB275" i="1" s="1"/>
  <c r="BG251" i="1"/>
  <c r="X245" i="1"/>
  <c r="X271" i="1" s="1"/>
  <c r="X274" i="1" s="1"/>
  <c r="D269" i="1"/>
  <c r="D270" i="1" s="1"/>
  <c r="AH269" i="1"/>
  <c r="AH270" i="1" s="1"/>
  <c r="BB245" i="1"/>
  <c r="BB271" i="1" s="1"/>
  <c r="BB274" i="1" s="1"/>
  <c r="AC345" i="1"/>
  <c r="BB323" i="1"/>
  <c r="BB349" i="1" s="1"/>
  <c r="BB352" i="1" s="1"/>
  <c r="AH347" i="1"/>
  <c r="AH348" i="1" s="1"/>
  <c r="AC329" i="1"/>
  <c r="X350" i="1"/>
  <c r="X353" i="1" s="1"/>
  <c r="BG345" i="1"/>
  <c r="D347" i="1"/>
  <c r="D348" i="1" s="1"/>
  <c r="X323" i="1"/>
  <c r="BB350" i="1"/>
  <c r="BB353" i="1" s="1"/>
  <c r="BG329" i="1"/>
  <c r="AC290" i="1"/>
  <c r="X311" i="1"/>
  <c r="X314" i="1" s="1"/>
  <c r="AH308" i="1"/>
  <c r="AH309" i="1" s="1"/>
  <c r="BB284" i="1"/>
  <c r="BB310" i="1" s="1"/>
  <c r="BB313" i="1" s="1"/>
  <c r="BG306" i="1"/>
  <c r="AC306" i="1"/>
  <c r="D308" i="1"/>
  <c r="D309" i="1" s="1"/>
  <c r="X284" i="1"/>
  <c r="X310" i="1" s="1"/>
  <c r="X313" i="1" s="1"/>
  <c r="BG290" i="1"/>
  <c r="BB311" i="1"/>
  <c r="BB314" i="1" s="1"/>
  <c r="AH189" i="1"/>
  <c r="AH190" i="1" s="1"/>
  <c r="BB165" i="1"/>
  <c r="X192" i="1"/>
  <c r="X195" i="1" s="1"/>
  <c r="AC171" i="1"/>
  <c r="D189" i="1"/>
  <c r="D190" i="1" s="1"/>
  <c r="X165" i="1"/>
  <c r="X191" i="1" s="1"/>
  <c r="X194" i="1" s="1"/>
  <c r="AC187" i="1"/>
  <c r="BG171" i="1"/>
  <c r="BB192" i="1"/>
  <c r="BB195" i="1" s="1"/>
  <c r="D149" i="1"/>
  <c r="D150" i="1" s="1"/>
  <c r="X125" i="1"/>
  <c r="X151" i="1" s="1"/>
  <c r="X154" i="1" s="1"/>
  <c r="AC147" i="1"/>
  <c r="X152" i="1"/>
  <c r="X155" i="1" s="1"/>
  <c r="AC131" i="1"/>
  <c r="BB125" i="1"/>
  <c r="AH149" i="1"/>
  <c r="AH150" i="1" s="1"/>
  <c r="BG147" i="1"/>
  <c r="BG131" i="1"/>
  <c r="BB152" i="1"/>
  <c r="BB155" i="1" s="1"/>
  <c r="BG107" i="1"/>
  <c r="AC107" i="1"/>
  <c r="BB112" i="1"/>
  <c r="BB115" i="1" s="1"/>
  <c r="BG91" i="1"/>
  <c r="AC91" i="1"/>
  <c r="X112" i="1"/>
  <c r="X115" i="1" s="1"/>
  <c r="D109" i="1"/>
  <c r="D110" i="1" s="1"/>
  <c r="X85" i="1"/>
  <c r="X111" i="1" s="1"/>
  <c r="X114" i="1" s="1"/>
  <c r="BG448" i="1"/>
  <c r="BB469" i="1"/>
  <c r="BB472" i="1" s="1"/>
  <c r="AC448" i="1"/>
  <c r="X469" i="1"/>
  <c r="X472" i="1" s="1"/>
  <c r="AC464" i="1"/>
  <c r="X442" i="1"/>
  <c r="X468" i="1" s="1"/>
  <c r="X471" i="1" s="1"/>
  <c r="D466" i="1"/>
  <c r="D467" i="1" s="1"/>
  <c r="AH466" i="1"/>
  <c r="AH467" i="1" s="1"/>
  <c r="BB442" i="1"/>
  <c r="BB468" i="1" s="1"/>
  <c r="BB471" i="1" s="1"/>
  <c r="BG464" i="1"/>
  <c r="BB72" i="1"/>
  <c r="BB75" i="1" s="1"/>
  <c r="BG51" i="1"/>
  <c r="AH69" i="1"/>
  <c r="AH70" i="1" s="1"/>
  <c r="BB45" i="1"/>
  <c r="BB71" i="1" s="1"/>
  <c r="BB74" i="1" s="1"/>
  <c r="BG67" i="1"/>
  <c r="X45" i="1"/>
  <c r="AC45" i="1" s="1"/>
  <c r="D69" i="1"/>
  <c r="D70" i="1" s="1"/>
  <c r="D42" i="7"/>
  <c r="D44" i="7" s="1"/>
  <c r="P41" i="7"/>
  <c r="J479" i="1"/>
  <c r="AC47" i="1"/>
  <c r="K50" i="10" l="1"/>
  <c r="J50" i="10" s="1"/>
  <c r="C50" i="10"/>
  <c r="AH109" i="1"/>
  <c r="AH110" i="1" s="1"/>
  <c r="D114" i="1" s="1"/>
  <c r="D115" i="1" s="1"/>
  <c r="D235" i="1"/>
  <c r="K236" i="1" s="1"/>
  <c r="AC407" i="1"/>
  <c r="X428" i="1"/>
  <c r="X431" i="1" s="1"/>
  <c r="BB401" i="1"/>
  <c r="AH425" i="1"/>
  <c r="AH426" i="1" s="1"/>
  <c r="D425" i="1"/>
  <c r="D426" i="1" s="1"/>
  <c r="X401" i="1"/>
  <c r="BG407" i="1"/>
  <c r="BB428" i="1"/>
  <c r="BB431" i="1" s="1"/>
  <c r="BB362" i="1"/>
  <c r="AH386" i="1"/>
  <c r="AH387" i="1" s="1"/>
  <c r="D386" i="1"/>
  <c r="D387" i="1" s="1"/>
  <c r="X362" i="1"/>
  <c r="X389" i="1"/>
  <c r="X392" i="1" s="1"/>
  <c r="AC368" i="1"/>
  <c r="BG368" i="1"/>
  <c r="BB389" i="1"/>
  <c r="BB392" i="1" s="1"/>
  <c r="BG206" i="1"/>
  <c r="BG230" i="1" s="1"/>
  <c r="BB231" i="1"/>
  <c r="BC231" i="1" s="1"/>
  <c r="BB230" i="1"/>
  <c r="BB232" i="1"/>
  <c r="BB235" i="1" s="1"/>
  <c r="C65" i="10"/>
  <c r="K65" i="10"/>
  <c r="J65" i="10" s="1"/>
  <c r="D185" i="10"/>
  <c r="P43" i="7"/>
  <c r="D275" i="1"/>
  <c r="D274" i="1"/>
  <c r="K275" i="1" s="1"/>
  <c r="K276" i="1"/>
  <c r="X269" i="1"/>
  <c r="AC245" i="1"/>
  <c r="AC269" i="1" s="1"/>
  <c r="X270" i="1"/>
  <c r="Y270" i="1" s="1"/>
  <c r="BG245" i="1"/>
  <c r="BG269" i="1" s="1"/>
  <c r="BB269" i="1"/>
  <c r="BB270" i="1"/>
  <c r="BC270" i="1" s="1"/>
  <c r="BB276" i="1" s="1"/>
  <c r="BB277" i="1" s="1"/>
  <c r="BB278" i="1" s="1"/>
  <c r="BG323" i="1"/>
  <c r="BG347" i="1" s="1"/>
  <c r="BB347" i="1"/>
  <c r="BB348" i="1"/>
  <c r="BC348" i="1" s="1"/>
  <c r="BB354" i="1" s="1"/>
  <c r="BB355" i="1" s="1"/>
  <c r="BB356" i="1" s="1"/>
  <c r="X347" i="1"/>
  <c r="X348" i="1"/>
  <c r="Y348" i="1" s="1"/>
  <c r="AC323" i="1"/>
  <c r="AC347" i="1" s="1"/>
  <c r="X349" i="1"/>
  <c r="X352" i="1" s="1"/>
  <c r="D353" i="1"/>
  <c r="D352" i="1"/>
  <c r="K353" i="1" s="1"/>
  <c r="BB309" i="1"/>
  <c r="BC309" i="1" s="1"/>
  <c r="BB315" i="1" s="1"/>
  <c r="BB316" i="1" s="1"/>
  <c r="BB317" i="1" s="1"/>
  <c r="BB308" i="1"/>
  <c r="BG284" i="1"/>
  <c r="BG308" i="1" s="1"/>
  <c r="X308" i="1"/>
  <c r="AC284" i="1"/>
  <c r="AC308" i="1" s="1"/>
  <c r="X309" i="1"/>
  <c r="Y309" i="1" s="1"/>
  <c r="D314" i="1"/>
  <c r="D313" i="1"/>
  <c r="K314" i="1" s="1"/>
  <c r="AC165" i="1"/>
  <c r="AC189" i="1" s="1"/>
  <c r="X189" i="1"/>
  <c r="X190" i="1"/>
  <c r="Y190" i="1" s="1"/>
  <c r="BB191" i="1"/>
  <c r="BB194" i="1" s="1"/>
  <c r="BG165" i="1"/>
  <c r="BG189" i="1" s="1"/>
  <c r="BB190" i="1"/>
  <c r="BC190" i="1" s="1"/>
  <c r="BB189" i="1"/>
  <c r="D194" i="1"/>
  <c r="K195" i="1" s="1"/>
  <c r="D195" i="1"/>
  <c r="BG125" i="1"/>
  <c r="BG149" i="1" s="1"/>
  <c r="BB150" i="1"/>
  <c r="BC150" i="1" s="1"/>
  <c r="BB149" i="1"/>
  <c r="BB151" i="1"/>
  <c r="BB154" i="1" s="1"/>
  <c r="AC125" i="1"/>
  <c r="AC149" i="1" s="1"/>
  <c r="X149" i="1"/>
  <c r="X150" i="1"/>
  <c r="Y150" i="1" s="1"/>
  <c r="D154" i="1"/>
  <c r="BG85" i="1"/>
  <c r="BG109" i="1" s="1"/>
  <c r="BB110" i="1"/>
  <c r="BC110" i="1" s="1"/>
  <c r="BB109" i="1"/>
  <c r="AC85" i="1"/>
  <c r="AC109" i="1" s="1"/>
  <c r="X110" i="1"/>
  <c r="Y110" i="1" s="1"/>
  <c r="X109" i="1"/>
  <c r="BB111" i="1"/>
  <c r="BB114" i="1" s="1"/>
  <c r="D472" i="1"/>
  <c r="D471" i="1"/>
  <c r="K472" i="1" s="1"/>
  <c r="AC442" i="1"/>
  <c r="AC466" i="1" s="1"/>
  <c r="X467" i="1"/>
  <c r="Y467" i="1" s="1"/>
  <c r="X466" i="1"/>
  <c r="BG442" i="1"/>
  <c r="BG466" i="1" s="1"/>
  <c r="BB466" i="1"/>
  <c r="BB467" i="1"/>
  <c r="BC467" i="1" s="1"/>
  <c r="BB473" i="1" s="1"/>
  <c r="BB474" i="1" s="1"/>
  <c r="BB475" i="1" s="1"/>
  <c r="BG45" i="1"/>
  <c r="BG69" i="1" s="1"/>
  <c r="BB70" i="1"/>
  <c r="BC70" i="1" s="1"/>
  <c r="BB76" i="1" s="1"/>
  <c r="BB77" i="1" s="1"/>
  <c r="BB78" i="1" s="1"/>
  <c r="BB69" i="1"/>
  <c r="AH28" i="1"/>
  <c r="BB28" i="1" s="1"/>
  <c r="BG28" i="1" s="1"/>
  <c r="AH26" i="1"/>
  <c r="BB26" i="1" s="1"/>
  <c r="BG26" i="1" s="1"/>
  <c r="AH12" i="1"/>
  <c r="BB12" i="1" s="1"/>
  <c r="BG12" i="1" s="1"/>
  <c r="D19" i="1"/>
  <c r="X19" i="1" s="1"/>
  <c r="AC19" i="1" s="1"/>
  <c r="D17" i="1"/>
  <c r="X17" i="1" s="1"/>
  <c r="AC17" i="1" s="1"/>
  <c r="D7" i="1"/>
  <c r="X7" i="1" s="1"/>
  <c r="AC7" i="1" s="1"/>
  <c r="AH6" i="1"/>
  <c r="BB6" i="1" s="1"/>
  <c r="BG6" i="1" s="1"/>
  <c r="AH14" i="1"/>
  <c r="BB14" i="1" s="1"/>
  <c r="BG14" i="1" s="1"/>
  <c r="D21" i="1"/>
  <c r="X21" i="1" s="1"/>
  <c r="AC21" i="1" s="1"/>
  <c r="D9" i="1"/>
  <c r="X9" i="1" s="1"/>
  <c r="AC9" i="1" s="1"/>
  <c r="D22" i="1"/>
  <c r="X22" i="1" s="1"/>
  <c r="AC22" i="1" s="1"/>
  <c r="AH23" i="1"/>
  <c r="BB23" i="1" s="1"/>
  <c r="BG23" i="1" s="1"/>
  <c r="AH17" i="1"/>
  <c r="BB17" i="1" s="1"/>
  <c r="BG17" i="1" s="1"/>
  <c r="D13" i="1"/>
  <c r="X13" i="1" s="1"/>
  <c r="AC13" i="1" s="1"/>
  <c r="D6" i="1"/>
  <c r="X6" i="1" s="1"/>
  <c r="AC6" i="1" s="1"/>
  <c r="D24" i="1"/>
  <c r="X24" i="1" s="1"/>
  <c r="AC24" i="1" s="1"/>
  <c r="D10" i="1"/>
  <c r="X10" i="1" s="1"/>
  <c r="AC10" i="1" s="1"/>
  <c r="AH19" i="1"/>
  <c r="BB19" i="1" s="1"/>
  <c r="BG19" i="1" s="1"/>
  <c r="AH22" i="1"/>
  <c r="BB22" i="1" s="1"/>
  <c r="BG22" i="1" s="1"/>
  <c r="AH20" i="1"/>
  <c r="BB20" i="1" s="1"/>
  <c r="BG20" i="1" s="1"/>
  <c r="D26" i="1"/>
  <c r="X26" i="1" s="1"/>
  <c r="AC26" i="1" s="1"/>
  <c r="D16" i="1"/>
  <c r="X16" i="1" s="1"/>
  <c r="AC16" i="1" s="1"/>
  <c r="AH7" i="1"/>
  <c r="BB7" i="1" s="1"/>
  <c r="BG7" i="1" s="1"/>
  <c r="D15" i="1"/>
  <c r="X15" i="1" s="1"/>
  <c r="AC15" i="1" s="1"/>
  <c r="AH15" i="1"/>
  <c r="BB15" i="1" s="1"/>
  <c r="BG15" i="1" s="1"/>
  <c r="AH18" i="1"/>
  <c r="BB18" i="1" s="1"/>
  <c r="BG18" i="1" s="1"/>
  <c r="AH10" i="1"/>
  <c r="BB10" i="1" s="1"/>
  <c r="BG10" i="1" s="1"/>
  <c r="D28" i="1"/>
  <c r="X28" i="1" s="1"/>
  <c r="AC28" i="1" s="1"/>
  <c r="D18" i="1"/>
  <c r="X18" i="1" s="1"/>
  <c r="AC18" i="1" s="1"/>
  <c r="D8" i="1"/>
  <c r="X8" i="1" s="1"/>
  <c r="AC8" i="1" s="1"/>
  <c r="AH9" i="1"/>
  <c r="BB9" i="1" s="1"/>
  <c r="BG9" i="1" s="1"/>
  <c r="D20" i="1"/>
  <c r="X20" i="1" s="1"/>
  <c r="AC20" i="1" s="1"/>
  <c r="AH8" i="1"/>
  <c r="BB8" i="1" s="1"/>
  <c r="BG8" i="1" s="1"/>
  <c r="AH21" i="1"/>
  <c r="BB21" i="1" s="1"/>
  <c r="BG21" i="1" s="1"/>
  <c r="AH16" i="1"/>
  <c r="BB16" i="1" s="1"/>
  <c r="BG16" i="1" s="1"/>
  <c r="D12" i="1"/>
  <c r="X12" i="1" s="1"/>
  <c r="AC12" i="1" s="1"/>
  <c r="D14" i="1"/>
  <c r="X14" i="1" s="1"/>
  <c r="AC14" i="1" s="1"/>
  <c r="D23" i="1"/>
  <c r="X23" i="1" s="1"/>
  <c r="AC23" i="1" s="1"/>
  <c r="AH13" i="1"/>
  <c r="BB13" i="1" s="1"/>
  <c r="BG13" i="1" s="1"/>
  <c r="AH24" i="1"/>
  <c r="BB24" i="1" s="1"/>
  <c r="BG24" i="1" s="1"/>
  <c r="AH25" i="1"/>
  <c r="BB25" i="1" s="1"/>
  <c r="BG25" i="1" s="1"/>
  <c r="D25" i="1"/>
  <c r="X25" i="1" s="1"/>
  <c r="AC25" i="1" s="1"/>
  <c r="J480" i="1"/>
  <c r="M479" i="1"/>
  <c r="BB237" i="1" l="1"/>
  <c r="BB238" i="1" s="1"/>
  <c r="BB239" i="1" s="1"/>
  <c r="X238" i="1" s="1"/>
  <c r="D81" i="10" s="1"/>
  <c r="K84" i="10" s="1"/>
  <c r="D431" i="1"/>
  <c r="D430" i="1"/>
  <c r="K431" i="1" s="1"/>
  <c r="AC401" i="1"/>
  <c r="AC425" i="1" s="1"/>
  <c r="X426" i="1"/>
  <c r="Y426" i="1" s="1"/>
  <c r="X425" i="1"/>
  <c r="X427" i="1"/>
  <c r="X430" i="1" s="1"/>
  <c r="BB427" i="1"/>
  <c r="BB430" i="1" s="1"/>
  <c r="BG401" i="1"/>
  <c r="BG425" i="1" s="1"/>
  <c r="BB425" i="1"/>
  <c r="BB426" i="1"/>
  <c r="BC426" i="1" s="1"/>
  <c r="AC362" i="1"/>
  <c r="AC386" i="1" s="1"/>
  <c r="X386" i="1"/>
  <c r="X387" i="1"/>
  <c r="Y387" i="1" s="1"/>
  <c r="X388" i="1"/>
  <c r="X391" i="1" s="1"/>
  <c r="D392" i="1"/>
  <c r="D391" i="1"/>
  <c r="K392" i="1" s="1"/>
  <c r="BB388" i="1"/>
  <c r="BB391" i="1" s="1"/>
  <c r="BG362" i="1"/>
  <c r="BG386" i="1" s="1"/>
  <c r="BB386" i="1"/>
  <c r="BB387" i="1"/>
  <c r="BC387" i="1" s="1"/>
  <c r="Y232" i="1"/>
  <c r="AD496" i="1" s="1"/>
  <c r="C185" i="10"/>
  <c r="K185" i="10"/>
  <c r="J185" i="10" s="1"/>
  <c r="BB116" i="1"/>
  <c r="BB117" i="1" s="1"/>
  <c r="BB118" i="1" s="1"/>
  <c r="X117" i="1" s="1"/>
  <c r="D36" i="10" s="1"/>
  <c r="X277" i="1"/>
  <c r="D96" i="10" s="1"/>
  <c r="X276" i="1"/>
  <c r="Y271" i="1"/>
  <c r="Y349" i="1"/>
  <c r="AD499" i="1" s="1"/>
  <c r="X355" i="1"/>
  <c r="X354" i="1"/>
  <c r="X316" i="1"/>
  <c r="Y310" i="1"/>
  <c r="X315" i="1"/>
  <c r="BB156" i="1"/>
  <c r="BB157" i="1" s="1"/>
  <c r="BB158" i="1" s="1"/>
  <c r="X157" i="1" s="1"/>
  <c r="BB196" i="1"/>
  <c r="BB197" i="1" s="1"/>
  <c r="BB198" i="1" s="1"/>
  <c r="X197" i="1" s="1"/>
  <c r="Y191" i="1"/>
  <c r="AD495" i="1" s="1"/>
  <c r="AG495" i="1" s="1"/>
  <c r="B71" i="10" s="1"/>
  <c r="D155" i="1"/>
  <c r="K155" i="1"/>
  <c r="Y151" i="1"/>
  <c r="AD494" i="1" s="1"/>
  <c r="AG494" i="1" s="1"/>
  <c r="Y111" i="1"/>
  <c r="AD493" i="1" s="1"/>
  <c r="AG493" i="1" s="1"/>
  <c r="B41" i="10" s="1"/>
  <c r="K115" i="1"/>
  <c r="M480" i="1"/>
  <c r="Y468" i="1"/>
  <c r="AD502" i="1" s="1"/>
  <c r="AG502" i="1" s="1"/>
  <c r="B176" i="10" s="1"/>
  <c r="X474" i="1"/>
  <c r="D171" i="10" s="1"/>
  <c r="X473" i="1"/>
  <c r="B171" i="10" s="1"/>
  <c r="AG29" i="1"/>
  <c r="AG30" i="1" s="1"/>
  <c r="AH5" i="1"/>
  <c r="AG33" i="1"/>
  <c r="AH27" i="1"/>
  <c r="BB27" i="1" s="1"/>
  <c r="AH11" i="1"/>
  <c r="BB11" i="1" s="1"/>
  <c r="AG32" i="1"/>
  <c r="C32" i="1"/>
  <c r="D11" i="1"/>
  <c r="X11" i="1" s="1"/>
  <c r="C33" i="1"/>
  <c r="D27" i="1"/>
  <c r="X27" i="1" s="1"/>
  <c r="C29" i="1"/>
  <c r="C30" i="1" s="1"/>
  <c r="D5" i="1"/>
  <c r="X48" i="1"/>
  <c r="AD497" i="1" l="1"/>
  <c r="B56" i="10"/>
  <c r="AG499" i="1"/>
  <c r="B131" i="10" s="1"/>
  <c r="AE499" i="1"/>
  <c r="AI499" i="1" s="1"/>
  <c r="AD498" i="1"/>
  <c r="AG496" i="1"/>
  <c r="B86" i="10" s="1"/>
  <c r="I88" i="10" s="1"/>
  <c r="O88" i="10" s="1"/>
  <c r="J205" i="10" s="1"/>
  <c r="AE496" i="1"/>
  <c r="AI496" i="1" s="1"/>
  <c r="X237" i="1"/>
  <c r="X240" i="1" s="1"/>
  <c r="X239" i="1"/>
  <c r="K83" i="10"/>
  <c r="I494" i="1"/>
  <c r="K494" i="1" s="1"/>
  <c r="Y388" i="1"/>
  <c r="AD500" i="1" s="1"/>
  <c r="Y427" i="1"/>
  <c r="AD501" i="1" s="1"/>
  <c r="BB432" i="1"/>
  <c r="BB433" i="1" s="1"/>
  <c r="BB434" i="1" s="1"/>
  <c r="X433" i="1" s="1"/>
  <c r="BB393" i="1"/>
  <c r="BB394" i="1" s="1"/>
  <c r="BB395" i="1" s="1"/>
  <c r="X394" i="1" s="1"/>
  <c r="D22" i="8"/>
  <c r="I133" i="10"/>
  <c r="X317" i="1"/>
  <c r="D111" i="10"/>
  <c r="X357" i="1"/>
  <c r="B126" i="10"/>
  <c r="X318" i="1"/>
  <c r="B111" i="10"/>
  <c r="X356" i="1"/>
  <c r="D126" i="10"/>
  <c r="Q84" i="10"/>
  <c r="D20" i="8"/>
  <c r="E20" i="8" s="1"/>
  <c r="I73" i="10"/>
  <c r="O73" i="10" s="1"/>
  <c r="J204" i="10" s="1"/>
  <c r="I487" i="1"/>
  <c r="K487" i="1" s="1"/>
  <c r="D66" i="10"/>
  <c r="X278" i="1"/>
  <c r="I488" i="1"/>
  <c r="K488" i="1" s="1"/>
  <c r="X158" i="1"/>
  <c r="D51" i="10"/>
  <c r="X279" i="1"/>
  <c r="B96" i="10"/>
  <c r="X476" i="1"/>
  <c r="K174" i="10"/>
  <c r="K173" i="10"/>
  <c r="C171" i="10"/>
  <c r="D28" i="8"/>
  <c r="G28" i="8" s="1"/>
  <c r="I178" i="10"/>
  <c r="O178" i="10" s="1"/>
  <c r="J211" i="10" s="1"/>
  <c r="X198" i="1"/>
  <c r="X118" i="1"/>
  <c r="X475" i="1"/>
  <c r="X116" i="1"/>
  <c r="B36" i="10" s="1"/>
  <c r="C36" i="10" s="1"/>
  <c r="AE493" i="1"/>
  <c r="AI493" i="1" s="1"/>
  <c r="D19" i="8"/>
  <c r="X156" i="1"/>
  <c r="D23" i="8"/>
  <c r="D25" i="8"/>
  <c r="AE495" i="1"/>
  <c r="AI495" i="1" s="1"/>
  <c r="D21" i="8"/>
  <c r="D24" i="8"/>
  <c r="X196" i="1"/>
  <c r="B66" i="10" s="1"/>
  <c r="AE494" i="1"/>
  <c r="AI494" i="1" s="1"/>
  <c r="AE502" i="1"/>
  <c r="AI502" i="1" s="1"/>
  <c r="X32" i="1"/>
  <c r="X35" i="1" s="1"/>
  <c r="AC11" i="1"/>
  <c r="X5" i="1"/>
  <c r="X31" i="1" s="1"/>
  <c r="X34" i="1" s="1"/>
  <c r="D29" i="1"/>
  <c r="D30" i="1" s="1"/>
  <c r="BG11" i="1"/>
  <c r="BB32" i="1"/>
  <c r="BB35" i="1" s="1"/>
  <c r="AC27" i="1"/>
  <c r="BB5" i="1"/>
  <c r="AH29" i="1"/>
  <c r="AH30" i="1" s="1"/>
  <c r="BG27" i="1"/>
  <c r="AC48" i="1"/>
  <c r="AG501" i="1" l="1"/>
  <c r="B161" i="10" s="1"/>
  <c r="I163" i="10" s="1"/>
  <c r="O163" i="10" s="1"/>
  <c r="J210" i="10" s="1"/>
  <c r="D548" i="1"/>
  <c r="AG500" i="1"/>
  <c r="G534" i="1"/>
  <c r="L488" i="1"/>
  <c r="G548" i="1"/>
  <c r="D534" i="1"/>
  <c r="AG497" i="1"/>
  <c r="AE497" i="1"/>
  <c r="AI497" i="1" s="1"/>
  <c r="L487" i="1"/>
  <c r="G533" i="1"/>
  <c r="D27" i="8"/>
  <c r="E27" i="8" s="1"/>
  <c r="AJ499" i="1"/>
  <c r="D131" i="10"/>
  <c r="AG498" i="1"/>
  <c r="B116" i="10" s="1"/>
  <c r="I118" i="10" s="1"/>
  <c r="O118" i="10" s="1"/>
  <c r="J207" i="10" s="1"/>
  <c r="AE498" i="1"/>
  <c r="AI498" i="1" s="1"/>
  <c r="AJ496" i="1"/>
  <c r="D86" i="10"/>
  <c r="K88" i="10" s="1"/>
  <c r="AJ493" i="1"/>
  <c r="D41" i="10"/>
  <c r="K43" i="10" s="1"/>
  <c r="D176" i="10"/>
  <c r="AJ502" i="1"/>
  <c r="AJ495" i="1"/>
  <c r="D71" i="10"/>
  <c r="C71" i="10" s="1"/>
  <c r="AJ494" i="1"/>
  <c r="D56" i="10"/>
  <c r="C56" i="10" s="1"/>
  <c r="Y240" i="1"/>
  <c r="B81" i="10"/>
  <c r="C81" i="10" s="1"/>
  <c r="D26" i="8"/>
  <c r="G26" i="8" s="1"/>
  <c r="AE500" i="1"/>
  <c r="I493" i="1"/>
  <c r="K493" i="1" s="1"/>
  <c r="X432" i="1"/>
  <c r="B156" i="10" s="1"/>
  <c r="AE501" i="1"/>
  <c r="X434" i="1"/>
  <c r="D156" i="10"/>
  <c r="X395" i="1"/>
  <c r="D141" i="10"/>
  <c r="I489" i="1"/>
  <c r="X393" i="1"/>
  <c r="E22" i="8"/>
  <c r="C22" i="8"/>
  <c r="G22" i="8"/>
  <c r="O133" i="10"/>
  <c r="J208" i="10" s="1"/>
  <c r="Y279" i="1"/>
  <c r="Y357" i="1"/>
  <c r="Y318" i="1"/>
  <c r="C20" i="8"/>
  <c r="G20" i="8"/>
  <c r="K114" i="10"/>
  <c r="K113" i="10"/>
  <c r="C111" i="10"/>
  <c r="I128" i="10"/>
  <c r="I129" i="10"/>
  <c r="K54" i="10"/>
  <c r="K53" i="10"/>
  <c r="K129" i="10"/>
  <c r="K128" i="10"/>
  <c r="C126" i="10"/>
  <c r="I99" i="10"/>
  <c r="I98" i="10"/>
  <c r="C66" i="10"/>
  <c r="K58" i="10"/>
  <c r="C96" i="10"/>
  <c r="K99" i="10"/>
  <c r="K98" i="10"/>
  <c r="I58" i="10"/>
  <c r="O58" i="10" s="1"/>
  <c r="J203" i="10" s="1"/>
  <c r="I43" i="10"/>
  <c r="O43" i="10" s="1"/>
  <c r="J202" i="10" s="1"/>
  <c r="X159" i="1"/>
  <c r="B51" i="10"/>
  <c r="U85" i="10"/>
  <c r="I114" i="10"/>
  <c r="I113" i="10"/>
  <c r="C28" i="8"/>
  <c r="E28" i="8"/>
  <c r="Q174" i="10"/>
  <c r="I174" i="10"/>
  <c r="J174" i="10" s="1"/>
  <c r="I173" i="10"/>
  <c r="J173" i="10" s="1"/>
  <c r="K69" i="10"/>
  <c r="K68" i="10"/>
  <c r="X199" i="1"/>
  <c r="X119" i="1"/>
  <c r="Y119" i="1" s="1"/>
  <c r="K39" i="10"/>
  <c r="K38" i="10"/>
  <c r="Y476" i="1"/>
  <c r="E19" i="8"/>
  <c r="C19" i="8"/>
  <c r="G19" i="8"/>
  <c r="E23" i="8"/>
  <c r="G23" i="8"/>
  <c r="C23" i="8"/>
  <c r="E25" i="8"/>
  <c r="C25" i="8"/>
  <c r="G25" i="8"/>
  <c r="E21" i="8"/>
  <c r="C21" i="8"/>
  <c r="G21" i="8"/>
  <c r="E24" i="8"/>
  <c r="C24" i="8"/>
  <c r="G24" i="8"/>
  <c r="BG5" i="1"/>
  <c r="BG29" i="1" s="1"/>
  <c r="BB30" i="1"/>
  <c r="BC30" i="1" s="1"/>
  <c r="BB29" i="1"/>
  <c r="BB31" i="1"/>
  <c r="BB34" i="1" s="1"/>
  <c r="X29" i="1"/>
  <c r="AC5" i="1"/>
  <c r="AC29" i="1" s="1"/>
  <c r="X30" i="1"/>
  <c r="Y30" i="1" s="1"/>
  <c r="F534" i="1" l="1"/>
  <c r="G27" i="8"/>
  <c r="G535" i="1"/>
  <c r="D564" i="1"/>
  <c r="B146" i="10"/>
  <c r="I148" i="10" s="1"/>
  <c r="O148" i="10" s="1"/>
  <c r="J209" i="10" s="1"/>
  <c r="C41" i="10"/>
  <c r="C27" i="8"/>
  <c r="G549" i="1"/>
  <c r="F549" i="1" s="1"/>
  <c r="D101" i="10"/>
  <c r="AJ497" i="1"/>
  <c r="D549" i="1"/>
  <c r="D550" i="1" s="1"/>
  <c r="D555" i="1" s="1"/>
  <c r="D559" i="1" s="1"/>
  <c r="D560" i="1" s="1"/>
  <c r="B101" i="10"/>
  <c r="I103" i="10" s="1"/>
  <c r="O103" i="10" s="1"/>
  <c r="J206" i="10" s="1"/>
  <c r="L494" i="1"/>
  <c r="L493" i="1"/>
  <c r="D533" i="1"/>
  <c r="D535" i="1" s="1"/>
  <c r="D540" i="1" s="1"/>
  <c r="D544" i="1" s="1"/>
  <c r="D545" i="1" s="1"/>
  <c r="F548" i="1"/>
  <c r="D116" i="10"/>
  <c r="AJ498" i="1"/>
  <c r="C86" i="10"/>
  <c r="K73" i="10"/>
  <c r="AI501" i="1"/>
  <c r="AI500" i="1"/>
  <c r="I84" i="10"/>
  <c r="O84" i="10" s="1"/>
  <c r="O90" i="10" s="1"/>
  <c r="I83" i="10"/>
  <c r="J83" i="10" s="1"/>
  <c r="X435" i="1"/>
  <c r="I495" i="1"/>
  <c r="K495" i="1" s="1"/>
  <c r="C26" i="8"/>
  <c r="E26" i="8"/>
  <c r="K489" i="1"/>
  <c r="C131" i="10"/>
  <c r="K133" i="10"/>
  <c r="I158" i="10"/>
  <c r="I159" i="10"/>
  <c r="K158" i="10"/>
  <c r="K159" i="10"/>
  <c r="C156" i="10"/>
  <c r="Y435" i="1"/>
  <c r="X396" i="1"/>
  <c r="B141" i="10"/>
  <c r="C141" i="10" s="1"/>
  <c r="K144" i="10"/>
  <c r="K143" i="10"/>
  <c r="Q88" i="10"/>
  <c r="U86" i="10" s="1"/>
  <c r="J88" i="10"/>
  <c r="Y159" i="1"/>
  <c r="F205" i="10"/>
  <c r="J98" i="10"/>
  <c r="Q99" i="10"/>
  <c r="J99" i="10"/>
  <c r="O99" i="10"/>
  <c r="C51" i="10"/>
  <c r="I53" i="10"/>
  <c r="J53" i="10" s="1"/>
  <c r="I54" i="10"/>
  <c r="O129" i="10"/>
  <c r="O135" i="10" s="1"/>
  <c r="I134" i="10"/>
  <c r="J58" i="10"/>
  <c r="Q58" i="10"/>
  <c r="J128" i="10"/>
  <c r="Q129" i="10"/>
  <c r="J129" i="10"/>
  <c r="Q54" i="10"/>
  <c r="J113" i="10"/>
  <c r="O114" i="10"/>
  <c r="O120" i="10" s="1"/>
  <c r="I119" i="10"/>
  <c r="Q114" i="10"/>
  <c r="J114" i="10"/>
  <c r="K178" i="10"/>
  <c r="C176" i="10"/>
  <c r="U175" i="10"/>
  <c r="O174" i="10"/>
  <c r="O180" i="10" s="1"/>
  <c r="I179" i="10"/>
  <c r="I68" i="10"/>
  <c r="J68" i="10" s="1"/>
  <c r="I69" i="10"/>
  <c r="J69" i="10" s="1"/>
  <c r="J73" i="10"/>
  <c r="Q73" i="10"/>
  <c r="Y199" i="1"/>
  <c r="Q69" i="10"/>
  <c r="Q39" i="10"/>
  <c r="I39" i="10"/>
  <c r="I38" i="10"/>
  <c r="J38" i="10" s="1"/>
  <c r="J43" i="10"/>
  <c r="Q43" i="10"/>
  <c r="BB36" i="1"/>
  <c r="BB37" i="1" s="1"/>
  <c r="BB38" i="1" s="1"/>
  <c r="X37" i="1" s="1"/>
  <c r="Y31" i="1"/>
  <c r="AD491" i="1" s="1"/>
  <c r="AG491" i="1" s="1"/>
  <c r="X49" i="1"/>
  <c r="I89" i="10" l="1"/>
  <c r="S85" i="10"/>
  <c r="T85" i="10" s="1"/>
  <c r="P84" i="10"/>
  <c r="G564" i="1"/>
  <c r="F564" i="1" s="1"/>
  <c r="I104" i="10"/>
  <c r="O105" i="10"/>
  <c r="L489" i="1"/>
  <c r="G563" i="1"/>
  <c r="L495" i="1"/>
  <c r="D563" i="1"/>
  <c r="D565" i="1" s="1"/>
  <c r="D570" i="1" s="1"/>
  <c r="D574" i="1" s="1"/>
  <c r="D575" i="1" s="1"/>
  <c r="F533" i="1"/>
  <c r="G550" i="1"/>
  <c r="F535" i="1"/>
  <c r="G540" i="1"/>
  <c r="K103" i="10"/>
  <c r="C101" i="10"/>
  <c r="K118" i="10"/>
  <c r="C116" i="10"/>
  <c r="J84" i="10"/>
  <c r="B11" i="10"/>
  <c r="D161" i="10"/>
  <c r="AJ501" i="1"/>
  <c r="D146" i="10"/>
  <c r="AJ500" i="1"/>
  <c r="J158" i="10"/>
  <c r="Q133" i="10"/>
  <c r="Q135" i="10" s="1"/>
  <c r="J133" i="10"/>
  <c r="O159" i="10"/>
  <c r="I164" i="10"/>
  <c r="Q159" i="10"/>
  <c r="J159" i="10"/>
  <c r="Q144" i="10"/>
  <c r="I144" i="10"/>
  <c r="J144" i="10" s="1"/>
  <c r="I143" i="10"/>
  <c r="J143" i="10" s="1"/>
  <c r="Y396" i="1"/>
  <c r="P88" i="10"/>
  <c r="Q90" i="10"/>
  <c r="K90" i="10" s="1"/>
  <c r="K205" i="10"/>
  <c r="L205" i="10" s="1"/>
  <c r="X36" i="1"/>
  <c r="AE491" i="1"/>
  <c r="AI491" i="1" s="1"/>
  <c r="X38" i="1"/>
  <c r="D6" i="10"/>
  <c r="F211" i="10"/>
  <c r="P73" i="10"/>
  <c r="K204" i="10"/>
  <c r="L204" i="10" s="1"/>
  <c r="P43" i="10"/>
  <c r="K202" i="10"/>
  <c r="L202" i="10" s="1"/>
  <c r="S130" i="10"/>
  <c r="S175" i="10"/>
  <c r="T175" i="10" s="1"/>
  <c r="P58" i="10"/>
  <c r="K203" i="10"/>
  <c r="L203" i="10" s="1"/>
  <c r="S115" i="10"/>
  <c r="S100" i="10"/>
  <c r="O54" i="10"/>
  <c r="I59" i="10"/>
  <c r="P129" i="10"/>
  <c r="U130" i="10"/>
  <c r="P114" i="10"/>
  <c r="U115" i="10"/>
  <c r="J54" i="10"/>
  <c r="Q60" i="10"/>
  <c r="U55" i="10"/>
  <c r="P99" i="10"/>
  <c r="U100" i="10"/>
  <c r="P174" i="10"/>
  <c r="Q178" i="10"/>
  <c r="K211" i="10" s="1"/>
  <c r="L211" i="10" s="1"/>
  <c r="J178" i="10"/>
  <c r="O69" i="10"/>
  <c r="O75" i="10" s="1"/>
  <c r="I74" i="10"/>
  <c r="Q75" i="10"/>
  <c r="U70" i="10"/>
  <c r="I44" i="10"/>
  <c r="O39" i="10"/>
  <c r="O45" i="10" s="1"/>
  <c r="Q45" i="10"/>
  <c r="U40" i="10"/>
  <c r="J39" i="10"/>
  <c r="D17" i="8"/>
  <c r="AC49" i="1"/>
  <c r="E205" i="10" l="1"/>
  <c r="O205" i="10" s="1"/>
  <c r="S86" i="10"/>
  <c r="T86" i="10" s="1"/>
  <c r="F550" i="1"/>
  <c r="G555" i="1"/>
  <c r="J103" i="10"/>
  <c r="Q103" i="10"/>
  <c r="U101" i="10" s="1"/>
  <c r="F563" i="1"/>
  <c r="G565" i="1"/>
  <c r="G544" i="1"/>
  <c r="F544" i="1" s="1"/>
  <c r="F545" i="1" s="1"/>
  <c r="G545" i="1" s="1"/>
  <c r="F540" i="1"/>
  <c r="J118" i="10"/>
  <c r="Q118" i="10"/>
  <c r="C161" i="10"/>
  <c r="K163" i="10"/>
  <c r="K148" i="10"/>
  <c r="C146" i="10"/>
  <c r="D11" i="10"/>
  <c r="C11" i="10" s="1"/>
  <c r="AJ491" i="1"/>
  <c r="P205" i="10"/>
  <c r="Q205" i="10" s="1"/>
  <c r="X39" i="1"/>
  <c r="Y39" i="1" s="1"/>
  <c r="K208" i="10"/>
  <c r="L208" i="10" s="1"/>
  <c r="P133" i="10"/>
  <c r="U160" i="10"/>
  <c r="P159" i="10"/>
  <c r="O165" i="10"/>
  <c r="S160" i="10"/>
  <c r="U145" i="10"/>
  <c r="O144" i="10"/>
  <c r="I149" i="10"/>
  <c r="B6" i="10"/>
  <c r="C6" i="10" s="1"/>
  <c r="K9" i="10"/>
  <c r="Q9" i="10" s="1"/>
  <c r="K8" i="10"/>
  <c r="T130" i="10"/>
  <c r="P54" i="10"/>
  <c r="O60" i="10"/>
  <c r="K60" i="10" s="1"/>
  <c r="T115" i="10"/>
  <c r="T100" i="10"/>
  <c r="P211" i="10"/>
  <c r="G205" i="10"/>
  <c r="K135" i="10"/>
  <c r="S131" i="10"/>
  <c r="E208" i="10"/>
  <c r="O208" i="10" s="1"/>
  <c r="U131" i="10"/>
  <c r="F208" i="10"/>
  <c r="S176" i="10"/>
  <c r="E211" i="10"/>
  <c r="K75" i="10"/>
  <c r="S70" i="10"/>
  <c r="T70" i="10" s="1"/>
  <c r="U71" i="10"/>
  <c r="F204" i="10"/>
  <c r="P204" i="10" s="1"/>
  <c r="U56" i="10"/>
  <c r="F203" i="10"/>
  <c r="S55" i="10"/>
  <c r="T55" i="10" s="1"/>
  <c r="K45" i="10"/>
  <c r="S40" i="10"/>
  <c r="T40" i="10" s="1"/>
  <c r="U41" i="10"/>
  <c r="F202" i="10"/>
  <c r="S116" i="10"/>
  <c r="E207" i="10"/>
  <c r="O207" i="10" s="1"/>
  <c r="U116" i="10"/>
  <c r="F207" i="10"/>
  <c r="F206" i="10"/>
  <c r="E206" i="10"/>
  <c r="S101" i="10"/>
  <c r="P39" i="10"/>
  <c r="P69" i="10"/>
  <c r="P178" i="10"/>
  <c r="Q180" i="10"/>
  <c r="K180" i="10" s="1"/>
  <c r="U176" i="10"/>
  <c r="I13" i="10"/>
  <c r="O13" i="10" s="1"/>
  <c r="J200" i="10" s="1"/>
  <c r="E17" i="8"/>
  <c r="G17" i="8"/>
  <c r="C17" i="8"/>
  <c r="X50" i="1"/>
  <c r="G570" i="1" l="1"/>
  <c r="F565" i="1"/>
  <c r="K206" i="10"/>
  <c r="L206" i="10" s="1"/>
  <c r="P103" i="10"/>
  <c r="Q105" i="10"/>
  <c r="K105" i="10" s="1"/>
  <c r="F555" i="1"/>
  <c r="G559" i="1"/>
  <c r="F559" i="1" s="1"/>
  <c r="F560" i="1" s="1"/>
  <c r="G560" i="1" s="1"/>
  <c r="Q120" i="10"/>
  <c r="K120" i="10" s="1"/>
  <c r="P118" i="10"/>
  <c r="K207" i="10"/>
  <c r="L207" i="10" s="1"/>
  <c r="J163" i="10"/>
  <c r="Q163" i="10"/>
  <c r="U161" i="10" s="1"/>
  <c r="Q148" i="10"/>
  <c r="U146" i="10" s="1"/>
  <c r="J148" i="10"/>
  <c r="E210" i="10"/>
  <c r="O210" i="10" s="1"/>
  <c r="S161" i="10"/>
  <c r="T160" i="10"/>
  <c r="F210" i="10"/>
  <c r="O150" i="10"/>
  <c r="S145" i="10"/>
  <c r="T145" i="10" s="1"/>
  <c r="F209" i="10"/>
  <c r="P144" i="10"/>
  <c r="K13" i="10"/>
  <c r="Q13" i="10" s="1"/>
  <c r="T116" i="10"/>
  <c r="T176" i="10"/>
  <c r="T101" i="10"/>
  <c r="T131" i="10"/>
  <c r="P208" i="10"/>
  <c r="Q208" i="10" s="1"/>
  <c r="G208" i="10"/>
  <c r="G211" i="10"/>
  <c r="O211" i="10"/>
  <c r="Q211" i="10" s="1"/>
  <c r="S71" i="10"/>
  <c r="T71" i="10" s="1"/>
  <c r="E204" i="10"/>
  <c r="S56" i="10"/>
  <c r="T56" i="10" s="1"/>
  <c r="E203" i="10"/>
  <c r="O203" i="10" s="1"/>
  <c r="P203" i="10"/>
  <c r="P202" i="10"/>
  <c r="S41" i="10"/>
  <c r="T41" i="10" s="1"/>
  <c r="E202" i="10"/>
  <c r="O202" i="10" s="1"/>
  <c r="P207" i="10"/>
  <c r="Q207" i="10" s="1"/>
  <c r="G207" i="10"/>
  <c r="O206" i="10"/>
  <c r="P206" i="10"/>
  <c r="G206" i="10"/>
  <c r="I9" i="10"/>
  <c r="I8" i="10"/>
  <c r="J8" i="10" s="1"/>
  <c r="U10" i="10"/>
  <c r="AC50" i="1"/>
  <c r="F570" i="1" l="1"/>
  <c r="G574" i="1"/>
  <c r="F574" i="1" s="1"/>
  <c r="F575" i="1" s="1"/>
  <c r="G575" i="1" s="1"/>
  <c r="P163" i="10"/>
  <c r="Q165" i="10"/>
  <c r="K165" i="10" s="1"/>
  <c r="K210" i="10"/>
  <c r="L210" i="10" s="1"/>
  <c r="K209" i="10"/>
  <c r="L209" i="10" s="1"/>
  <c r="P148" i="10"/>
  <c r="Q150" i="10"/>
  <c r="K150" i="10" s="1"/>
  <c r="T161" i="10"/>
  <c r="J13" i="10"/>
  <c r="G210" i="10"/>
  <c r="S146" i="10"/>
  <c r="T146" i="10" s="1"/>
  <c r="E209" i="10"/>
  <c r="O209" i="10" s="1"/>
  <c r="F200" i="10"/>
  <c r="G203" i="10"/>
  <c r="Q203" i="10"/>
  <c r="G204" i="10"/>
  <c r="O204" i="10"/>
  <c r="Q204" i="10" s="1"/>
  <c r="G202" i="10"/>
  <c r="Q202" i="10"/>
  <c r="P13" i="10"/>
  <c r="K200" i="10"/>
  <c r="Q206" i="10"/>
  <c r="Q15" i="10"/>
  <c r="U11" i="10"/>
  <c r="I14" i="10"/>
  <c r="O9" i="10"/>
  <c r="J9" i="10"/>
  <c r="X51" i="1"/>
  <c r="P210" i="10" l="1"/>
  <c r="Q210" i="10" s="1"/>
  <c r="P209" i="10"/>
  <c r="Q209" i="10"/>
  <c r="G209" i="10"/>
  <c r="P200" i="10"/>
  <c r="S10" i="10"/>
  <c r="T10" i="10" s="1"/>
  <c r="O15" i="10"/>
  <c r="K15" i="10" s="1"/>
  <c r="L200" i="10"/>
  <c r="P9" i="10"/>
  <c r="AC51" i="1"/>
  <c r="E200" i="10" l="1"/>
  <c r="O200" i="10" s="1"/>
  <c r="S11" i="10"/>
  <c r="X52" i="1"/>
  <c r="G200" i="10" l="1"/>
  <c r="T11" i="10"/>
  <c r="D34" i="1"/>
  <c r="Q200" i="10"/>
  <c r="AC52" i="1"/>
  <c r="K35" i="1" l="1"/>
  <c r="D35" i="1"/>
  <c r="X53" i="1"/>
  <c r="AC53" i="1" l="1"/>
  <c r="X54" i="1" l="1"/>
  <c r="AC54" i="1" l="1"/>
  <c r="X55" i="1" l="1"/>
  <c r="AC55" i="1" l="1"/>
  <c r="X56" i="1" l="1"/>
  <c r="AC56" i="1" s="1"/>
  <c r="X57" i="1" l="1"/>
  <c r="AC57" i="1" s="1"/>
  <c r="X58" i="1" l="1"/>
  <c r="AC58" i="1" s="1"/>
  <c r="X59" i="1" l="1"/>
  <c r="AC59" i="1" s="1"/>
  <c r="X60" i="1" l="1"/>
  <c r="AC60" i="1" s="1"/>
  <c r="X61" i="1" l="1"/>
  <c r="AC61" i="1" s="1"/>
  <c r="X62" i="1" l="1"/>
  <c r="AC62" i="1" s="1"/>
  <c r="X63" i="1" l="1"/>
  <c r="AC63" i="1" s="1"/>
  <c r="X64" i="1" l="1"/>
  <c r="AC64" i="1" s="1"/>
  <c r="X65" i="1" l="1"/>
  <c r="AC65" i="1" s="1"/>
  <c r="X66" i="1" l="1"/>
  <c r="AC66" i="1" l="1"/>
  <c r="X72" i="1"/>
  <c r="X75" i="1" s="1"/>
  <c r="X67" i="1" l="1"/>
  <c r="Y490" i="1"/>
  <c r="AC67" i="1" l="1"/>
  <c r="X68" i="1" l="1"/>
  <c r="X70" i="1" s="1"/>
  <c r="V69" i="1"/>
  <c r="V70" i="1" s="1"/>
  <c r="Y70" i="1" l="1"/>
  <c r="Y71" i="1" s="1"/>
  <c r="AD492" i="1" s="1"/>
  <c r="AG492" i="1" s="1"/>
  <c r="D519" i="1" s="1"/>
  <c r="D579" i="1" s="1"/>
  <c r="AC68" i="1"/>
  <c r="AC69" i="1" s="1"/>
  <c r="X69" i="1"/>
  <c r="X71" i="1"/>
  <c r="X74" i="1" s="1"/>
  <c r="B26" i="10" l="1"/>
  <c r="I28" i="10" s="1"/>
  <c r="O28" i="10" s="1"/>
  <c r="AG503" i="1"/>
  <c r="D504" i="1" s="1"/>
  <c r="AE492" i="1"/>
  <c r="AI492" i="1" s="1"/>
  <c r="G519" i="1" s="1"/>
  <c r="X77" i="1"/>
  <c r="D21" i="10" s="1"/>
  <c r="X76" i="1"/>
  <c r="G579" i="1" l="1"/>
  <c r="F579" i="1" s="1"/>
  <c r="F519" i="1"/>
  <c r="D26" i="10"/>
  <c r="C26" i="10" s="1"/>
  <c r="AJ492" i="1"/>
  <c r="AI503" i="1"/>
  <c r="B191" i="10"/>
  <c r="I193" i="10" s="1"/>
  <c r="O193" i="10" s="1"/>
  <c r="B21" i="10"/>
  <c r="B186" i="10" s="1"/>
  <c r="I492" i="1"/>
  <c r="K492" i="1" s="1"/>
  <c r="J201" i="10"/>
  <c r="J212" i="10" s="1"/>
  <c r="I486" i="1"/>
  <c r="K486" i="1" s="1"/>
  <c r="X79" i="1"/>
  <c r="X78" i="1"/>
  <c r="X478" i="1"/>
  <c r="X481" i="1" s="1"/>
  <c r="D503" i="1" s="1"/>
  <c r="J76" i="1"/>
  <c r="D505" i="1" l="1"/>
  <c r="D510" i="1" s="1"/>
  <c r="D514" i="1" s="1"/>
  <c r="D515" i="1" s="1"/>
  <c r="AJ503" i="1"/>
  <c r="G504" i="1"/>
  <c r="F504" i="1" s="1"/>
  <c r="L492" i="1"/>
  <c r="L496" i="1" s="1"/>
  <c r="D518" i="1"/>
  <c r="L486" i="1"/>
  <c r="L490" i="1" s="1"/>
  <c r="G518" i="1"/>
  <c r="I24" i="10"/>
  <c r="O24" i="10" s="1"/>
  <c r="O30" i="10" s="1"/>
  <c r="I23" i="10"/>
  <c r="C21" i="10"/>
  <c r="K496" i="1"/>
  <c r="K490" i="1"/>
  <c r="AD503" i="1"/>
  <c r="D18" i="8"/>
  <c r="I188" i="10"/>
  <c r="I189" i="10"/>
  <c r="K28" i="10"/>
  <c r="D191" i="10"/>
  <c r="K24" i="10"/>
  <c r="K23" i="10"/>
  <c r="D186" i="10"/>
  <c r="X479" i="1"/>
  <c r="X482" i="1" s="1"/>
  <c r="Y79" i="1"/>
  <c r="Z491" i="1"/>
  <c r="Y492" i="1"/>
  <c r="D578" i="1" l="1"/>
  <c r="D580" i="1" s="1"/>
  <c r="D585" i="1" s="1"/>
  <c r="D589" i="1" s="1"/>
  <c r="D590" i="1" s="1"/>
  <c r="D520" i="1"/>
  <c r="D525" i="1" s="1"/>
  <c r="D529" i="1" s="1"/>
  <c r="D530" i="1" s="1"/>
  <c r="F518" i="1"/>
  <c r="G520" i="1"/>
  <c r="G578" i="1"/>
  <c r="I29" i="10"/>
  <c r="J23" i="10"/>
  <c r="Y495" i="1"/>
  <c r="Z495" i="1" s="1"/>
  <c r="E18" i="8"/>
  <c r="E29" i="8" s="1"/>
  <c r="D29" i="8"/>
  <c r="G29" i="8" s="1"/>
  <c r="G18" i="8"/>
  <c r="C18" i="8"/>
  <c r="C29" i="8" s="1"/>
  <c r="S25" i="10"/>
  <c r="K193" i="10"/>
  <c r="C191" i="10"/>
  <c r="Q24" i="10"/>
  <c r="J24" i="10"/>
  <c r="Q28" i="10"/>
  <c r="J28" i="10"/>
  <c r="K188" i="10"/>
  <c r="J188" i="10" s="1"/>
  <c r="K189" i="10"/>
  <c r="C186" i="10"/>
  <c r="O189" i="10"/>
  <c r="O195" i="10" s="1"/>
  <c r="I194" i="10"/>
  <c r="Y483" i="1"/>
  <c r="F503" i="1" s="1"/>
  <c r="G503" i="1" s="1"/>
  <c r="G505" i="1" s="1"/>
  <c r="Y479" i="1"/>
  <c r="F578" i="1" l="1"/>
  <c r="G580" i="1"/>
  <c r="G525" i="1"/>
  <c r="F520" i="1"/>
  <c r="G510" i="1"/>
  <c r="F505" i="1"/>
  <c r="AE503" i="1"/>
  <c r="P28" i="10"/>
  <c r="K201" i="10"/>
  <c r="S26" i="10"/>
  <c r="D74" i="1" s="1"/>
  <c r="D75" i="1" s="1"/>
  <c r="D476" i="1" s="1"/>
  <c r="E201" i="10"/>
  <c r="S190" i="10"/>
  <c r="S191" i="10" s="1"/>
  <c r="Q189" i="10"/>
  <c r="J189" i="10"/>
  <c r="Q30" i="10"/>
  <c r="K30" i="10" s="1"/>
  <c r="P24" i="10"/>
  <c r="U25" i="10"/>
  <c r="T25" i="10" s="1"/>
  <c r="Q193" i="10"/>
  <c r="P193" i="10" s="1"/>
  <c r="J193" i="10"/>
  <c r="F510" i="1" l="1"/>
  <c r="G514" i="1"/>
  <c r="F514" i="1" s="1"/>
  <c r="F515" i="1" s="1"/>
  <c r="G515" i="1" s="1"/>
  <c r="G529" i="1"/>
  <c r="F529" i="1" s="1"/>
  <c r="F530" i="1" s="1"/>
  <c r="G530" i="1" s="1"/>
  <c r="F525" i="1"/>
  <c r="F580" i="1"/>
  <c r="G585" i="1"/>
  <c r="Y494" i="1"/>
  <c r="Y496" i="1" s="1"/>
  <c r="K75" i="1"/>
  <c r="D475" i="1"/>
  <c r="L201" i="10"/>
  <c r="K212" i="10"/>
  <c r="L212" i="10" s="1"/>
  <c r="O201" i="10"/>
  <c r="O212" i="10" s="1"/>
  <c r="E212" i="10"/>
  <c r="B11" i="8" s="1"/>
  <c r="B10" i="8" s="1"/>
  <c r="C10" i="8" s="1"/>
  <c r="U26" i="10"/>
  <c r="T26" i="10" s="1"/>
  <c r="F201" i="10"/>
  <c r="U190" i="10"/>
  <c r="U191" i="10" s="1"/>
  <c r="Q195" i="10"/>
  <c r="K195" i="10" s="1"/>
  <c r="P189" i="10"/>
  <c r="F585" i="1" l="1"/>
  <c r="G589" i="1"/>
  <c r="F589" i="1" s="1"/>
  <c r="F590" i="1" s="1"/>
  <c r="G590" i="1" s="1"/>
  <c r="G516" i="1"/>
  <c r="I515" i="1"/>
  <c r="C11" i="8"/>
  <c r="C9" i="8"/>
  <c r="C7" i="8"/>
  <c r="C8" i="8"/>
  <c r="O213" i="10"/>
  <c r="B12" i="8"/>
  <c r="C6" i="8"/>
  <c r="C5" i="8"/>
  <c r="P201" i="10"/>
  <c r="G201" i="10"/>
  <c r="F212" i="10"/>
  <c r="G212" i="10" s="1"/>
  <c r="J516" i="1" l="1"/>
  <c r="J517" i="1" s="1"/>
  <c r="J515" i="1"/>
  <c r="Q201" i="10"/>
  <c r="P212" i="10"/>
  <c r="P213" i="10" s="1"/>
  <c r="P214" i="10" l="1"/>
  <c r="Q212" i="10"/>
  <c r="F241" i="12" s="1"/>
  <c r="O221" i="10" l="1"/>
  <c r="O222" i="10"/>
  <c r="F248" i="12"/>
  <c r="F242" i="12"/>
  <c r="G242" i="12" s="1"/>
  <c r="H242" i="12" s="1"/>
  <c r="F250" i="12"/>
  <c r="G250" i="12" s="1"/>
  <c r="H250" i="12" s="1"/>
  <c r="F245" i="12"/>
  <c r="F249" i="12"/>
  <c r="G241" i="12"/>
  <c r="H241" i="12" s="1"/>
  <c r="F243" i="12"/>
  <c r="G243" i="12" s="1"/>
  <c r="H243" i="12" s="1"/>
  <c r="F244" i="12"/>
  <c r="F246" i="12"/>
  <c r="F252" i="12"/>
  <c r="G252" i="12" s="1"/>
  <c r="H252" i="12" s="1"/>
  <c r="F247" i="12"/>
  <c r="F251" i="12"/>
  <c r="G251" i="12" s="1"/>
  <c r="H251" i="12" s="1"/>
  <c r="N221" i="10"/>
  <c r="Q213" i="10"/>
  <c r="I241" i="12" l="1"/>
  <c r="I242" i="12" s="1"/>
  <c r="I243" i="12" s="1"/>
  <c r="J241" i="12"/>
  <c r="K241" i="12" s="1"/>
  <c r="J242" i="12" l="1"/>
  <c r="K242" i="12" s="1"/>
  <c r="J243" i="12" l="1"/>
  <c r="K243" i="12" s="1"/>
  <c r="G244" i="12" s="1"/>
  <c r="H244" i="12" s="1"/>
  <c r="I244" i="12" s="1"/>
  <c r="J244" i="12" l="1"/>
  <c r="K244" i="12" s="1"/>
  <c r="G245" i="12" s="1"/>
  <c r="H245" i="12" s="1"/>
  <c r="J245" i="12" s="1"/>
  <c r="K245" i="12" s="1"/>
  <c r="G246" i="12" s="1"/>
  <c r="H246" i="12" s="1"/>
  <c r="I245" i="12" l="1"/>
  <c r="I246" i="12" s="1"/>
  <c r="J246" i="12"/>
  <c r="K246" i="12" s="1"/>
  <c r="G247" i="12" s="1"/>
  <c r="H247" i="12" s="1"/>
  <c r="J247" i="12" l="1"/>
  <c r="K247" i="12" s="1"/>
  <c r="G248" i="12" s="1"/>
  <c r="H248" i="12" s="1"/>
  <c r="I247" i="12"/>
  <c r="J248" i="12" l="1"/>
  <c r="K248" i="12" s="1"/>
  <c r="G249" i="12" s="1"/>
  <c r="H249" i="12" s="1"/>
  <c r="I248" i="12"/>
  <c r="J249" i="12" l="1"/>
  <c r="I249" i="12"/>
  <c r="I250" i="12" s="1"/>
  <c r="I251" i="12" s="1"/>
  <c r="I252" i="12" s="1"/>
  <c r="M252" i="12" s="1"/>
  <c r="O223" i="10" l="1"/>
  <c r="K249" i="12"/>
  <c r="J250" i="12"/>
  <c r="K250" i="12" l="1"/>
  <c r="J251" i="12"/>
  <c r="K251" i="12" l="1"/>
  <c r="J252" i="12"/>
  <c r="J254" i="12" l="1"/>
  <c r="K252" i="12"/>
  <c r="K254" i="12" l="1"/>
  <c r="J255" i="12"/>
  <c r="K255" i="12" l="1"/>
  <c r="J256" i="12"/>
  <c r="K256" i="12" l="1"/>
  <c r="J257" i="12"/>
  <c r="K257" i="12" s="1"/>
  <c r="G258" i="12" s="1"/>
  <c r="H258" i="12" s="1"/>
  <c r="J258" i="12" l="1"/>
  <c r="K258" i="12" s="1"/>
  <c r="G259" i="12" s="1"/>
  <c r="H259" i="12" s="1"/>
  <c r="I258" i="12"/>
  <c r="J259" i="12" l="1"/>
  <c r="K259" i="12" s="1"/>
  <c r="G260" i="12" s="1"/>
  <c r="H260" i="12" s="1"/>
  <c r="I259" i="12"/>
  <c r="J260" i="12" l="1"/>
  <c r="K260" i="12" s="1"/>
  <c r="G261" i="12" s="1"/>
  <c r="H261" i="12" s="1"/>
  <c r="I260" i="12"/>
  <c r="J261" i="12" l="1"/>
  <c r="K261" i="12" s="1"/>
  <c r="G262" i="12" s="1"/>
  <c r="H262" i="12" s="1"/>
  <c r="I261" i="12"/>
  <c r="J262" i="12" l="1"/>
  <c r="I262" i="12"/>
  <c r="I263" i="12" s="1"/>
  <c r="I264" i="12" s="1"/>
  <c r="I265" i="12" s="1"/>
  <c r="K262" i="12" l="1"/>
  <c r="J263" i="12"/>
  <c r="K263" i="12" l="1"/>
  <c r="J264" i="12"/>
  <c r="K264" i="12" l="1"/>
  <c r="J265" i="12"/>
  <c r="K265"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pdomeika</author>
  </authors>
  <commentList>
    <comment ref="F96" authorId="0" shapeId="0" xr:uid="{00000000-0006-0000-0500-000001000000}">
      <text>
        <r>
          <rPr>
            <b/>
            <sz val="8"/>
            <color indexed="81"/>
            <rFont val="Tahoma"/>
            <family val="2"/>
          </rPr>
          <t>pdomeika:</t>
        </r>
        <r>
          <rPr>
            <sz val="8"/>
            <color indexed="81"/>
            <rFont val="Tahoma"/>
            <family val="2"/>
          </rPr>
          <t xml:space="preserve">
Bob's number -- couldn't back into it but this was what was used for the journal entry</t>
        </r>
      </text>
    </comment>
  </commentList>
</comments>
</file>

<file path=xl/sharedStrings.xml><?xml version="1.0" encoding="utf-8"?>
<sst xmlns="http://schemas.openxmlformats.org/spreadsheetml/2006/main" count="4399" uniqueCount="512">
  <si>
    <t>ENERGY</t>
  </si>
  <si>
    <t>TRANSMISSION</t>
  </si>
  <si>
    <t>MSCG</t>
  </si>
  <si>
    <t>SRP</t>
  </si>
  <si>
    <t>REMAINING</t>
  </si>
  <si>
    <t>MEAD</t>
  </si>
  <si>
    <t>TRANS TO</t>
  </si>
  <si>
    <t>HE</t>
  </si>
  <si>
    <t>MWPP</t>
  </si>
  <si>
    <t>BASELOAD</t>
  </si>
  <si>
    <t>TOT LOAD</t>
  </si>
  <si>
    <t>SOLAR</t>
  </si>
  <si>
    <t>SRP FLEET</t>
  </si>
  <si>
    <t>HOOVER</t>
  </si>
  <si>
    <t>WW500</t>
  </si>
  <si>
    <t>PV</t>
  </si>
  <si>
    <t>RESOURCES</t>
  </si>
  <si>
    <t>LOAD</t>
  </si>
  <si>
    <t>TOTAL</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</si>
  <si>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</si>
  <si>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</si>
  <si>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</si>
  <si>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</si>
  <si>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</si>
  <si>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</si>
  <si>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</si>
  <si>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</si>
  <si>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</si>
  <si>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</si>
  <si>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</si>
  <si>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</si>
  <si>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</si>
  <si>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</si>
  <si>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</si>
  <si>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</si>
  <si>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</si>
  <si>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</si>
  <si>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</si>
  <si>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</si>
  <si>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</si>
  <si>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</si>
  <si>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</si>
  <si>
    <t>2400</t>
  </si>
  <si>
    <t>Daily Tot</t>
  </si>
  <si>
    <t>Monthly Tot</t>
  </si>
  <si>
    <t>MWPP Sh Hr</t>
  </si>
  <si>
    <t>MWH</t>
  </si>
  <si>
    <t>$/MWH</t>
  </si>
  <si>
    <t>January</t>
  </si>
  <si>
    <t>February</t>
  </si>
  <si>
    <t>PSCO</t>
  </si>
  <si>
    <t>WWG500</t>
  </si>
  <si>
    <t>March</t>
  </si>
  <si>
    <t>April</t>
  </si>
  <si>
    <t>May</t>
  </si>
  <si>
    <t>June</t>
  </si>
  <si>
    <t>July</t>
  </si>
  <si>
    <t>August</t>
  </si>
  <si>
    <t>September</t>
  </si>
  <si>
    <t>October</t>
  </si>
  <si>
    <t>November</t>
  </si>
  <si>
    <t>December</t>
  </si>
  <si>
    <t>On Peak MW</t>
  </si>
  <si>
    <t>Off Peak MW</t>
  </si>
  <si>
    <t>Jan</t>
  </si>
  <si>
    <t>Feb</t>
  </si>
  <si>
    <t>Mar</t>
  </si>
  <si>
    <t>Apr</t>
  </si>
  <si>
    <t>Jun</t>
  </si>
  <si>
    <t>Jul</t>
  </si>
  <si>
    <t>Aug</t>
  </si>
  <si>
    <t>Sep</t>
  </si>
  <si>
    <t>Oct</t>
  </si>
  <si>
    <t>Nov</t>
  </si>
  <si>
    <t>Dec</t>
  </si>
  <si>
    <t>SHORT(-)</t>
  </si>
  <si>
    <t>(Megawatt Hours - MWh)</t>
  </si>
  <si>
    <t>Plant</t>
  </si>
  <si>
    <t>HAV</t>
  </si>
  <si>
    <t>BSH</t>
  </si>
  <si>
    <t>LHQ</t>
  </si>
  <si>
    <t>HSY</t>
  </si>
  <si>
    <t>WAD</t>
  </si>
  <si>
    <t>SGL</t>
  </si>
  <si>
    <t>BRD</t>
  </si>
  <si>
    <t>PIC</t>
  </si>
  <si>
    <t>RED</t>
  </si>
  <si>
    <t>TWP</t>
  </si>
  <si>
    <t>SAN</t>
  </si>
  <si>
    <t>BRW</t>
  </si>
  <si>
    <t>SXV</t>
  </si>
  <si>
    <t>SND</t>
  </si>
  <si>
    <t>BLK</t>
  </si>
  <si>
    <t>Total</t>
  </si>
  <si>
    <t>Pump</t>
  </si>
  <si>
    <t>Release</t>
  </si>
  <si>
    <t>System</t>
  </si>
  <si>
    <t>Non-West</t>
  </si>
  <si>
    <t xml:space="preserve">Non-West </t>
  </si>
  <si>
    <t>Energy Use Rate (kWh/AF)</t>
  </si>
  <si>
    <t>Energy</t>
  </si>
  <si>
    <t>Load</t>
  </si>
  <si>
    <t>Hourly</t>
  </si>
  <si>
    <t>--------</t>
  </si>
  <si>
    <t>-------</t>
  </si>
  <si>
    <t>JAN</t>
  </si>
  <si>
    <t>FEB</t>
  </si>
  <si>
    <t>MAR</t>
  </si>
  <si>
    <t>APR</t>
  </si>
  <si>
    <t>MAY</t>
  </si>
  <si>
    <t>JUN</t>
  </si>
  <si>
    <t>JUL</t>
  </si>
  <si>
    <t>AUG</t>
  </si>
  <si>
    <t>SEP</t>
  </si>
  <si>
    <t>OCT</t>
  </si>
  <si>
    <t>NOV</t>
  </si>
  <si>
    <t>DEC</t>
  </si>
  <si>
    <t>Run Hours per day for diversion</t>
  </si>
  <si>
    <t>MWPP Shape</t>
  </si>
  <si>
    <t>2x16</t>
  </si>
  <si>
    <t>3x24</t>
  </si>
  <si>
    <t>1x8</t>
  </si>
  <si>
    <t>MWPP Shape Plan Hrs</t>
  </si>
  <si>
    <t>TOTAL CUSTOMER DELIVERIES</t>
  </si>
  <si>
    <t>TOTAL CANAL LOSSES</t>
  </si>
  <si>
    <t>MWD LAKE STORAGE THRU T/O</t>
  </si>
  <si>
    <t>SRP/CAP EXCHANGE WATER</t>
  </si>
  <si>
    <t>WADDELL PUMPING</t>
  </si>
  <si>
    <t>WADDELL RELEASES</t>
  </si>
  <si>
    <t>COLORADO RIVER DIVERSIONS</t>
  </si>
  <si>
    <t>COLORADO RIVER ACTUAL</t>
  </si>
  <si>
    <t>Monthly Energy Surplus (- Deficit)</t>
  </si>
  <si>
    <t>Annual Energy Surplus (- Deficit)</t>
  </si>
  <si>
    <t>12 x 24 Profile for the 30 MW Salome Solar Project</t>
  </si>
  <si>
    <t>Hours</t>
  </si>
  <si>
    <t>Grand Total</t>
  </si>
  <si>
    <t>Firming to WAPA (MW)</t>
  </si>
  <si>
    <t>Solar Energy</t>
  </si>
  <si>
    <t>Firming Energy Used</t>
  </si>
  <si>
    <t>Total Energy</t>
  </si>
  <si>
    <t>Peak MW</t>
  </si>
  <si>
    <t>Solar Firm MW</t>
  </si>
  <si>
    <t>Solar Firmed Energy</t>
  </si>
  <si>
    <t>Remaining Firming MW</t>
  </si>
  <si>
    <t>Solar + Firming MW</t>
  </si>
  <si>
    <t>Remaining APA Energy</t>
  </si>
  <si>
    <t>Average Hourly Solar</t>
  </si>
  <si>
    <t>Average Energy from Hoover for Firming</t>
  </si>
  <si>
    <t>Hoover Scheduled Less Firming</t>
  </si>
  <si>
    <t>AVG</t>
  </si>
  <si>
    <t>Average HE9-16 (Duck Curve)</t>
  </si>
  <si>
    <t>SoCal Brdr</t>
  </si>
  <si>
    <t>SRP Cost</t>
  </si>
  <si>
    <t>Sales</t>
  </si>
  <si>
    <t>Est Price</t>
  </si>
  <si>
    <t>Revenue</t>
  </si>
  <si>
    <t>PUR $/MWH</t>
  </si>
  <si>
    <t>TOT MWH</t>
  </si>
  <si>
    <t>TOT PUR $/MWH</t>
  </si>
  <si>
    <t>Remaining Energy</t>
  </si>
  <si>
    <t>price</t>
  </si>
  <si>
    <t>Total Energy Purchases</t>
  </si>
  <si>
    <t>Total Purchases</t>
  </si>
  <si>
    <t>Total Sales</t>
  </si>
  <si>
    <t>Remaining Firming MWh</t>
  </si>
  <si>
    <t>YTD w/sales</t>
  </si>
  <si>
    <t>Solar</t>
  </si>
  <si>
    <t>Hoover</t>
  </si>
  <si>
    <t>SRP Fleet</t>
  </si>
  <si>
    <t>Dec MWH</t>
  </si>
  <si>
    <t>Dec PUR MWH</t>
  </si>
  <si>
    <t>Nov PUR MWH</t>
  </si>
  <si>
    <t>Nov MWH</t>
  </si>
  <si>
    <t>Oct MWH</t>
  </si>
  <si>
    <t>Oct PUR MWH</t>
  </si>
  <si>
    <t>Sep MWH</t>
  </si>
  <si>
    <t>Sep PUR MWH</t>
  </si>
  <si>
    <t>Aug PUR MWH</t>
  </si>
  <si>
    <t>Aug MWH</t>
  </si>
  <si>
    <t>Jul PUR MWH</t>
  </si>
  <si>
    <t>Jul MWH</t>
  </si>
  <si>
    <t>Jun PUR MWH</t>
  </si>
  <si>
    <t>Jun MWH</t>
  </si>
  <si>
    <t>May PUR MWH</t>
  </si>
  <si>
    <t>May MWH</t>
  </si>
  <si>
    <t>Apr MWH</t>
  </si>
  <si>
    <t>Apr PUR MWH</t>
  </si>
  <si>
    <t>Mar PUR MWH</t>
  </si>
  <si>
    <t>Mar MWH</t>
  </si>
  <si>
    <t>Feb PUR MWH</t>
  </si>
  <si>
    <t>Feb MWH</t>
  </si>
  <si>
    <t>Jan PUR MWH</t>
  </si>
  <si>
    <t>Jan MWH</t>
  </si>
  <si>
    <t>Total Projected Energy/Price</t>
  </si>
  <si>
    <t>MWPP MWh</t>
  </si>
  <si>
    <t>West Load MWh</t>
  </si>
  <si>
    <t>3x3x2</t>
  </si>
  <si>
    <t>3x1x0</t>
  </si>
  <si>
    <t>West Load Hourly</t>
  </si>
  <si>
    <t>Non-West Load Hourly</t>
  </si>
  <si>
    <t>Total Base Load Hourly</t>
  </si>
  <si>
    <t>Excess Firming</t>
  </si>
  <si>
    <t>Remaining APA Energy (no excess)</t>
  </si>
  <si>
    <t>2x24</t>
  </si>
  <si>
    <t>YTD Purchases w/o sales</t>
  </si>
  <si>
    <t>4x24</t>
  </si>
  <si>
    <t>4x17</t>
  </si>
  <si>
    <t>3x2</t>
  </si>
  <si>
    <t>2x5</t>
  </si>
  <si>
    <t>2x1</t>
  </si>
  <si>
    <t>5x16</t>
  </si>
  <si>
    <t>1X6</t>
  </si>
  <si>
    <t>2x2</t>
  </si>
  <si>
    <t>Mon-Sat</t>
  </si>
  <si>
    <t>Sun &amp; Hol</t>
  </si>
  <si>
    <t>Days</t>
  </si>
  <si>
    <t>Daily Sales</t>
  </si>
  <si>
    <t>Monthly Sales</t>
  </si>
  <si>
    <t>Remaining Energy Sun &amp; Holiday</t>
  </si>
  <si>
    <t>Total Energy Purchases Sun &amp; Holiday</t>
  </si>
  <si>
    <t xml:space="preserve">price </t>
  </si>
  <si>
    <t>Monthly Energy</t>
  </si>
  <si>
    <t>TOTAL Resources Purchased</t>
  </si>
  <si>
    <t>Monthly Total Resources %</t>
  </si>
  <si>
    <t>CITI</t>
  </si>
  <si>
    <t>EXELON</t>
  </si>
  <si>
    <t>BP</t>
  </si>
  <si>
    <t>Cost of</t>
  </si>
  <si>
    <t>Diversions</t>
  </si>
  <si>
    <t>Deliveries</t>
  </si>
  <si>
    <t>($/AF)</t>
  </si>
  <si>
    <t>Supply Source</t>
  </si>
  <si>
    <t>% of Resource</t>
  </si>
  <si>
    <t>Auction</t>
  </si>
  <si>
    <t>ACES Forward</t>
  </si>
  <si>
    <t>ACES</t>
  </si>
  <si>
    <t>Monthly Sales w/Wrap</t>
  </si>
  <si>
    <t>WAPA Firming</t>
  </si>
  <si>
    <t>Firming</t>
  </si>
  <si>
    <t>Total - not net sales</t>
  </si>
  <si>
    <t>Total Net sales</t>
  </si>
  <si>
    <t>DA Purchase/Sales</t>
  </si>
  <si>
    <t>Less Sales</t>
  </si>
  <si>
    <t>%of Load</t>
  </si>
  <si>
    <t>Difference</t>
  </si>
  <si>
    <t>Forwards</t>
  </si>
  <si>
    <t>LT Resources</t>
  </si>
  <si>
    <t>Blue Text =</t>
  </si>
  <si>
    <t>Manual Input</t>
  </si>
  <si>
    <t>Red Text =</t>
  </si>
  <si>
    <t>Computed by Lookup Macros</t>
  </si>
  <si>
    <t>Purple Text =</t>
  </si>
  <si>
    <t>Data Linked to other Worksheets</t>
  </si>
  <si>
    <t>Lake Volume December Previous Year =</t>
  </si>
  <si>
    <t>AF</t>
  </si>
  <si>
    <t>Cap Storage Account December Previous Year =</t>
  </si>
  <si>
    <t>Lake Elevation December Previous Year =</t>
  </si>
  <si>
    <t>FT</t>
  </si>
  <si>
    <t>Lake Surface Area December Previous Year =</t>
  </si>
  <si>
    <t>ACRES</t>
  </si>
  <si>
    <t>EOM Elevatoins</t>
  </si>
  <si>
    <t>N E W    W A D D E L L    D A M  /  L A K E   P L E A S A N T   R E S E R V O I R</t>
  </si>
  <si>
    <t>2012</t>
  </si>
  <si>
    <t>2015</t>
  </si>
  <si>
    <t>2016</t>
  </si>
  <si>
    <t>2017</t>
  </si>
  <si>
    <t>2018</t>
  </si>
  <si>
    <t>2019</t>
  </si>
  <si>
    <t>O P E R A T I N G    F O R E C A S T</t>
  </si>
  <si>
    <t>Accounts Estimated see Waddell Accounting for Acutals</t>
  </si>
  <si>
    <t>Dead Storage</t>
  </si>
  <si>
    <t>Compiled by CAWCD Water Control Branch</t>
  </si>
  <si>
    <t>Inactive Conservation</t>
  </si>
  <si>
    <t>Mitigation</t>
  </si>
  <si>
    <t>(E O M)</t>
  </si>
  <si>
    <t>ADJUSTED</t>
  </si>
  <si>
    <t>M W D</t>
  </si>
  <si>
    <t>C A P</t>
  </si>
  <si>
    <t xml:space="preserve"> </t>
  </si>
  <si>
    <t xml:space="preserve"> W.S.</t>
  </si>
  <si>
    <t>LAKE</t>
  </si>
  <si>
    <t>USABLE</t>
  </si>
  <si>
    <t>SURFACE</t>
  </si>
  <si>
    <t>NET</t>
  </si>
  <si>
    <t>GAGED</t>
  </si>
  <si>
    <t>TURNOUT</t>
  </si>
  <si>
    <t>FLOOD</t>
  </si>
  <si>
    <t>STORAGE</t>
  </si>
  <si>
    <t>T O T A L</t>
  </si>
  <si>
    <t>LOSSES</t>
  </si>
  <si>
    <t>RESERVE</t>
  </si>
  <si>
    <t>MONTH</t>
  </si>
  <si>
    <t>ELEVATION</t>
  </si>
  <si>
    <t>VOLUME</t>
  </si>
  <si>
    <t>AREA</t>
  </si>
  <si>
    <t>EVAP</t>
  </si>
  <si>
    <t>PRECIP</t>
  </si>
  <si>
    <t>SEEPAGE</t>
  </si>
  <si>
    <t>INFLOW</t>
  </si>
  <si>
    <t>OUTFLOW</t>
  </si>
  <si>
    <t>FLOW</t>
  </si>
  <si>
    <t>PUMPAGE</t>
  </si>
  <si>
    <t>RELEASES</t>
  </si>
  <si>
    <t>ACCOUNT</t>
  </si>
  <si>
    <t>EVAPORATION</t>
  </si>
  <si>
    <t>(GAIN) / LOSS</t>
  </si>
  <si>
    <t>30-DAY</t>
  </si>
  <si>
    <t>60-DAY</t>
  </si>
  <si>
    <t>90-DAY</t>
  </si>
  <si>
    <t>(FT)</t>
  </si>
  <si>
    <t>(AF)</t>
  </si>
  <si>
    <t>(ACRES)</t>
  </si>
  <si>
    <t>(INCHES)</t>
  </si>
  <si>
    <t xml:space="preserve"> (AF)</t>
  </si>
  <si>
    <t xml:space="preserve">  JANUARY</t>
  </si>
  <si>
    <t xml:space="preserve">  FEBRUARY</t>
  </si>
  <si>
    <t xml:space="preserve">   </t>
  </si>
  <si>
    <t xml:space="preserve">  MARCH</t>
  </si>
  <si>
    <t xml:space="preserve">  APRIL</t>
  </si>
  <si>
    <t xml:space="preserve">  MAY</t>
  </si>
  <si>
    <t xml:space="preserve">  JUNE</t>
  </si>
  <si>
    <t xml:space="preserve">  JULY</t>
  </si>
  <si>
    <t xml:space="preserve">  AUGUST</t>
  </si>
  <si>
    <t xml:space="preserve">  SEPTEMBER</t>
  </si>
  <si>
    <t xml:space="preserve">  OCTOBER</t>
  </si>
  <si>
    <t xml:space="preserve">  NOVEMBER</t>
  </si>
  <si>
    <t xml:space="preserve">  DECEMBER</t>
  </si>
  <si>
    <t xml:space="preserve">   A N N U A L   T O T A L</t>
  </si>
  <si>
    <t xml:space="preserve">(E O M)  :     END-OF-MONTH   VALUES </t>
  </si>
  <si>
    <t>THE RAINFALL AND AGUA FRIA GAGED INFLOWS ARE BASED ON A NORMAL YEAR.</t>
  </si>
  <si>
    <t>NOTE:  The MWD Turnout volumes represent Colorado River water delivered through the MWD Turnout as an exchange for MWD lake water which is not released from Lake Pleasant.  This water is credited to the CAP Storage Account.</t>
  </si>
  <si>
    <t>colored cell means didn't go thru turnout, actually delivered from lake thru beardsley canal, due to AF Tunnel outage</t>
  </si>
  <si>
    <t>colored cell means some flow didn't go thru turnout, actually delivered from lake thru beardsley canal</t>
  </si>
  <si>
    <t>APA Energy (OY2021)</t>
  </si>
  <si>
    <t>Total MWH</t>
  </si>
  <si>
    <t>TOTAL Forward Resources Cost</t>
  </si>
  <si>
    <t>Q1 cost</t>
  </si>
  <si>
    <t>Q2 cost</t>
  </si>
  <si>
    <t>Q3 cost</t>
  </si>
  <si>
    <t>Q4 cost</t>
  </si>
  <si>
    <t>Total Monthly Sales &amp; Purchases</t>
  </si>
  <si>
    <t>Total Monthly Spread Transactions</t>
  </si>
  <si>
    <t>Total Monthly Transactions inc. Spread</t>
  </si>
  <si>
    <t>MWh</t>
  </si>
  <si>
    <t>Unit Price</t>
  </si>
  <si>
    <t>Total Dollars</t>
  </si>
  <si>
    <t>Buy/Sell</t>
  </si>
  <si>
    <t>Commodity</t>
  </si>
  <si>
    <t>Product</t>
  </si>
  <si>
    <t>Trader</t>
  </si>
  <si>
    <t>SRP FLEET OPTION</t>
  </si>
  <si>
    <t>Buy</t>
  </si>
  <si>
    <t>Power</t>
  </si>
  <si>
    <t>Annual</t>
  </si>
  <si>
    <t>CAWCD</t>
  </si>
  <si>
    <t>Monthly</t>
  </si>
  <si>
    <t>ACES/CAWCD</t>
  </si>
  <si>
    <t>Day Ahead</t>
  </si>
  <si>
    <t>Intraday</t>
  </si>
  <si>
    <t>Real Time</t>
  </si>
  <si>
    <t>Cur Per Adj</t>
  </si>
  <si>
    <t>N/A</t>
  </si>
  <si>
    <t>Sell</t>
  </si>
  <si>
    <t>Transmission</t>
  </si>
  <si>
    <t>Net MWh</t>
  </si>
  <si>
    <t>Spread Dollars</t>
  </si>
  <si>
    <t>NET ACTIVITY</t>
  </si>
  <si>
    <t>LONG TERM RESOURCE SUMMARY FOR 2021</t>
  </si>
  <si>
    <t>ACES TRANSACTION SUMMARY FOR APRIL 2021</t>
  </si>
  <si>
    <t>Total Purchases Net Sales</t>
  </si>
  <si>
    <t>With Firming Energy Scheduled from Other Purchases</t>
  </si>
  <si>
    <t>DA Sales</t>
  </si>
  <si>
    <t>Month</t>
  </si>
  <si>
    <t>Total $</t>
  </si>
  <si>
    <t>Energy Cost Net sales</t>
  </si>
  <si>
    <t>7x8</t>
  </si>
  <si>
    <t>With 4% Loss</t>
  </si>
  <si>
    <t>DA Purchases</t>
  </si>
  <si>
    <t>Current</t>
  </si>
  <si>
    <t>X</t>
  </si>
  <si>
    <t>at 1.72MW per AF diver</t>
  </si>
  <si>
    <t>WO Losses</t>
  </si>
  <si>
    <t>With Losses</t>
  </si>
  <si>
    <t>Monthly Diversions</t>
  </si>
  <si>
    <t>Monthly Diversion Surplus (- Deficit)</t>
  </si>
  <si>
    <t>Annual Diversions</t>
  </si>
  <si>
    <t>Annual Diversion Surplus (- Deficit)</t>
  </si>
  <si>
    <t>Non-west</t>
  </si>
  <si>
    <t>West</t>
  </si>
  <si>
    <t>Annual Energy</t>
  </si>
  <si>
    <t>Load/Conversions Factors Used</t>
  </si>
  <si>
    <t>MW per MWPP hour (Summer)</t>
  </si>
  <si>
    <t>MW per MWPP hour (non-Summer)</t>
  </si>
  <si>
    <t>AF per MWPP hour (Summer)</t>
  </si>
  <si>
    <t>AF per MWPP hour (Non-Summer)</t>
  </si>
  <si>
    <t>West Load to MWPP Load Ratio</t>
  </si>
  <si>
    <t>Baseline load is calculated using 0.485*MWPP load for West load plus Waddell/South load from forecast file numbers</t>
  </si>
  <si>
    <t>DA purchases &amp; sales are based on hourly profile deficit or surplus (Energy Remaining Load column) and prices are best judgement based on DA prices for the hours</t>
  </si>
  <si>
    <t>Add estimated forward purchases if applicable</t>
  </si>
  <si>
    <t>Notes On Hoover with 30 MW Solar Tab</t>
  </si>
  <si>
    <t>Solar assumed to be firmed on 7x16 basis up to expected max output for the month</t>
  </si>
  <si>
    <t>No firming energy to WAPA Mar-May based on firming agreement with WAPA (15 MW Jun-Sept and 12 MW in other months)</t>
  </si>
  <si>
    <t>Notes on Load &amp; Lake Pleasant Forecast Tab</t>
  </si>
  <si>
    <t>After close of month values are replaced with actuals from the annual Energy Transaction Totals spreadsheet</t>
  </si>
  <si>
    <t>The MWPP Sh Hr values in columns C &amp;D in red are the average daily run hours for the month and the +/- difference from the run hours needed to meet the diversion target</t>
  </si>
  <si>
    <t>EXEL</t>
  </si>
  <si>
    <t>MWPP Tot</t>
  </si>
  <si>
    <t>Q1 Energy</t>
  </si>
  <si>
    <t>Q2 Energy</t>
  </si>
  <si>
    <t>Q3 Energy</t>
  </si>
  <si>
    <t>Q4 Energy</t>
  </si>
  <si>
    <t>Monthly Super</t>
  </si>
  <si>
    <t>Monthly Super w/wrap</t>
  </si>
  <si>
    <t>Energy Puchases</t>
  </si>
  <si>
    <t>Energy Puchases less sales</t>
  </si>
  <si>
    <t>(Firmed MW)</t>
  </si>
  <si>
    <t>ACES TRANSACTION SUMMARY FOR JANUARY 2022</t>
  </si>
  <si>
    <t>ACES TRANSACTION SUMMARY FOR FEBRUARY 2022</t>
  </si>
  <si>
    <t>ACES TRANSACTION SUMMARY FOR MARCH 2022</t>
  </si>
  <si>
    <t>ACES TRANSACTION SUMMARY FOR MAY 2022</t>
  </si>
  <si>
    <t>ACES TRANSACTION SUMMARY FOR JUNE 2022</t>
  </si>
  <si>
    <t>ACES TRANSACTION SUMMARY FOR JULY 2022</t>
  </si>
  <si>
    <t>ACES TRANSACTION SUMMARY FOR AUGUST 2022</t>
  </si>
  <si>
    <t>ACES TRANSACTION SUMMARY FOR SEPTEMBER 2022</t>
  </si>
  <si>
    <t>ACES TRANSACTION SUMMARY FOR OCTOBER 2022</t>
  </si>
  <si>
    <t>ACES TRANSACTION SUMMARY FOR NOVEMBER 2022</t>
  </si>
  <si>
    <t>ACES TRANSACTION SUMMARY FOR DECEMBER 2022</t>
  </si>
  <si>
    <t>ACES TRANSACTION TOTAL SUMMARY FOR 2022</t>
  </si>
  <si>
    <t>Notes on 2022 Tab</t>
  </si>
  <si>
    <t>Hoover pre-year est cost</t>
  </si>
  <si>
    <t>(w/NITS, Scheduling &amp; WECC/RC = $1.95/AF)</t>
  </si>
  <si>
    <t>With 10KAF SRP</t>
  </si>
  <si>
    <t xml:space="preserve">LAKE PLEASANT </t>
  </si>
  <si>
    <t xml:space="preserve">       Assigned value to base</t>
  </si>
  <si>
    <t>CAP Storage</t>
  </si>
  <si>
    <t>Adjustment</t>
  </si>
  <si>
    <t>Cummulative</t>
  </si>
  <si>
    <t>Rolling Avg</t>
  </si>
  <si>
    <t>Monthly $</t>
  </si>
  <si>
    <t>Total Inventory</t>
  </si>
  <si>
    <t>Avg Cost</t>
  </si>
  <si>
    <t>(CHANGE)AF</t>
  </si>
  <si>
    <t>Adj (AF)</t>
  </si>
  <si>
    <t>MWH/AF</t>
  </si>
  <si>
    <t>Cost/AF</t>
  </si>
  <si>
    <t>Adj</t>
  </si>
  <si>
    <t>Annual Adj</t>
  </si>
  <si>
    <t>Value</t>
  </si>
  <si>
    <t>Note: Inflows to L.P. valued @ budget consumption rate * Monthly MWH aggregate rate.  Outflows at weighted average cost of all inflows to date.</t>
  </si>
  <si>
    <t>Bal Fwd Aug-06</t>
  </si>
  <si>
    <t>na</t>
  </si>
  <si>
    <t>Bal Fwd Mar-06</t>
  </si>
  <si>
    <t>Bal Fwd Sep-07</t>
  </si>
  <si>
    <t>Bal Fwd Apr-08</t>
  </si>
  <si>
    <t>Bal Fwd Sep-08</t>
  </si>
  <si>
    <t>Lock in Cost/AF as water is withdrawn</t>
  </si>
  <si>
    <t>No entry posted in January</t>
  </si>
  <si>
    <t>Jan-10 Adj</t>
  </si>
  <si>
    <t>Adjust energy cost for 30,000 A/F of rain in Jan</t>
  </si>
  <si>
    <t>(Includes 22050 CAGRD credits)</t>
  </si>
  <si>
    <t>IID</t>
  </si>
  <si>
    <t>LIB</t>
  </si>
  <si>
    <t>Inc SRP Swap</t>
  </si>
  <si>
    <t>Price with forward sales</t>
  </si>
  <si>
    <t>DA MWH</t>
  </si>
  <si>
    <t>Forward MWH</t>
  </si>
  <si>
    <t>Forward $</t>
  </si>
  <si>
    <t>Total MWh</t>
  </si>
  <si>
    <t>Total Sales $</t>
  </si>
  <si>
    <t>Daily Energy Remaining</t>
  </si>
  <si>
    <t>Daily Available After Firming</t>
  </si>
  <si>
    <t>The hourly/daily solar totals include firming energy from purchases and/or any Hoover hydro energy used (Hoover with 30 MW solar tab has calculation).  The monthly solar cost totals are for solar only.</t>
  </si>
  <si>
    <t>The Hoover hourly/daily totals are less any energy used for solar firming.  The monthly Hoover costs are for the full allocated Hoover energy. The red daily total shows the Hoover energy available after firming and should be matched by the hourly totals.</t>
  </si>
  <si>
    <t>Forward months values are generated from the 2022 Tab estimated energy values</t>
  </si>
  <si>
    <t>Updated month energy per plant, deliveries/diversions, and lake elevations/volume from water forecast file when forecast file is updated</t>
  </si>
  <si>
    <t>Usually only update Hoover forward monthly projections for signifcant energy changes</t>
  </si>
  <si>
    <t>SRP Costs calculation uses current gas index for Jun-Sep presuming we normally exercise the option but may use slightly lower than gas index for remainder of year to account for use of lower cost market energy</t>
  </si>
  <si>
    <t>Notes on Transaction Totals Tab</t>
  </si>
  <si>
    <t>The annual totals at the bottom of the page are used only for pre-year estimates with quarterly totals for Finance budget estimates.  In-year updates for cost projections are made in the Transaction Totals tab using actuals from the annual Energy Transactions Spreadsheet.</t>
  </si>
  <si>
    <t>Firming energy sent to WAPA (which is included in the 30 MW solar) and forward sales, if any, are shown as negative resources and are deducted from purchases in the resource totals.  Forward sales are added to the DA sales at the bottom of the tab.</t>
  </si>
  <si>
    <t>For Budget Updates</t>
  </si>
  <si>
    <t>2022 Total</t>
  </si>
  <si>
    <t>Total Energy Sales</t>
  </si>
  <si>
    <t>Total 2022 Net Energy Purchases</t>
  </si>
  <si>
    <t>SRP Heat Rate Option</t>
  </si>
  <si>
    <t>30 MW Solar</t>
  </si>
  <si>
    <t>Total 2022 Non-Hoover Energy</t>
  </si>
  <si>
    <t>Hoover Energy</t>
  </si>
  <si>
    <t>Total 2022 Energy</t>
  </si>
  <si>
    <t>Total 2022 Energy w/Losses</t>
  </si>
  <si>
    <t>2022 Q1</t>
  </si>
  <si>
    <t>Total Q1 Net Energy Purchases</t>
  </si>
  <si>
    <t>Total Q1 Non-Hoover Energy</t>
  </si>
  <si>
    <t>Total 2022 Q1 Energy</t>
  </si>
  <si>
    <t>Total 2022 Q1 Energy w/Losses</t>
  </si>
  <si>
    <t>2022 Q2</t>
  </si>
  <si>
    <t>Total Q2 Net Energy Purchases</t>
  </si>
  <si>
    <t>Total Q2 Non-Hoover Energy</t>
  </si>
  <si>
    <t>Total 2022 Q2 Energy</t>
  </si>
  <si>
    <t>Total 2022 Q2 Energy w/Losses</t>
  </si>
  <si>
    <t>2022 Q3</t>
  </si>
  <si>
    <t>Total Q3 Net Energy Purchases</t>
  </si>
  <si>
    <t>Total Q3 Non-Hoover Energy</t>
  </si>
  <si>
    <t>Total 2022 Q3 Energy</t>
  </si>
  <si>
    <t>Total 2022 Q3 Energy w/ Losses</t>
  </si>
  <si>
    <t>2022 Q4</t>
  </si>
  <si>
    <t>Total Q4 Net Energy Purchases</t>
  </si>
  <si>
    <t>Total Q4 Non-Hoover Energy</t>
  </si>
  <si>
    <t>Total 2022 Q4 Energy</t>
  </si>
  <si>
    <t>Total 2022 Q4 Energy w/Losses</t>
  </si>
  <si>
    <t>2022 Total Check</t>
  </si>
  <si>
    <r>
      <t xml:space="preserve">(w/Lake Pleasant adjustment) - </t>
    </r>
    <r>
      <rPr>
        <b/>
        <sz val="11"/>
        <color theme="1"/>
        <rFont val="Calibri"/>
        <family val="2"/>
        <scheme val="minor"/>
      </rPr>
      <t>update from rolling schedule info from finance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</si>
</sst>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ddd"/>
    <numFmt numFmtId="165" formatCode="[$-409]d\-mmm;@"/>
    <numFmt numFmtId="166" formatCode="&quot;$&quot;#,##0.00"/>
    <numFmt numFmtId="167" formatCode="0.00_);\(0.00\)"/>
    <numFmt numFmtId="168" formatCode="&quot;$&quot;#,##0"/>
    <numFmt numFmtId="169" formatCode="0_);\(0\)"/>
    <numFmt numFmtId="170" formatCode="0.00_)"/>
    <numFmt numFmtId="171" formatCode="[$$-409]#,##0.00;[$$-409]\-#,##0.00"/>
    <numFmt numFmtId="172" formatCode="[$$-409]#,##0.00_);[$$-409]\(#,##0.00\)"/>
    <numFmt numFmtId="173" formatCode="_(* #,##0_);_(* \(#,##0\);_(* &quot;-&quot;??_);_(@_)"/>
    <numFmt numFmtId="174" formatCode="0.000"/>
    <numFmt numFmtId="175" formatCode="0.000000"/>
    <numFmt numFmtId="176" formatCode="0.00_);[Red]\(0.00\)"/>
    <numFmt numFmtId="177" formatCode="0.00000000"/>
    <numFmt numFmtId="178" formatCode="#,##0.00000000_);\(#,##0.00000000\)"/>
  </numFmts>
  <fonts count="44" x14ac:knownFonts="1">
    <font>
      <sz val="11"/>
      <color theme="1"/>
      <name val="Calibri"/>
      <family val="2"/>
      <scheme val="minor"/>
    </font>
    <font>
      <sz val="11"/>
      <color theme="1"/>
      <name val="Calibri"/>
      <family val="2"/>
      <scheme val="minor"/>
    </font>
    <font>
      <b/>
      <sz val="9"/>
      <color theme="1"/>
      <name val="Calibri"/>
      <family val="2"/>
      <scheme val="minor"/>
    </font>
    <font>
      <b/>
      <sz val="11"/>
      <color theme="1"/>
      <name val="Calibri"/>
      <family val="2"/>
      <scheme val="minor"/>
    </font>
    <font>
      <sz val="12"/>
      <color theme="1"/>
      <name val="Calibri"/>
      <family val="2"/>
      <scheme val="minor"/>
    </font>
    <font>
      <u/>
      <sz val="11"/>
      <color theme="1"/>
      <name val="Calibri"/>
      <family val="2"/>
      <scheme val="minor"/>
    </font>
    <font>
      <b/>
      <u/>
      <sz val="11"/>
      <color theme="1"/>
      <name val="Calibri"/>
      <family val="2"/>
      <scheme val="minor"/>
    </font>
    <font>
      <sz val="9"/>
      <color theme="1"/>
      <name val="Calibri"/>
      <family val="2"/>
      <scheme val="minor"/>
    </font>
    <font>
      <sz val="10"/>
      <name val="Arial"/>
      <family val="2"/>
    </font>
    <font>
      <b/>
      <sz val="9"/>
      <color rgb="FFFF0000"/>
      <name val="Calibri"/>
      <family val="2"/>
      <scheme val="minor"/>
    </font>
    <font>
      <sz val="12"/>
      <name val="Helv"/>
    </font>
    <font>
      <sz val="14"/>
      <color indexed="12"/>
      <name val="Arial"/>
      <family val="2"/>
    </font>
    <font>
      <sz val="14"/>
      <name val="Arial"/>
      <family val="2"/>
    </font>
    <font>
      <sz val="14"/>
      <color indexed="10"/>
      <name val="Arial"/>
      <family val="2"/>
    </font>
    <font>
      <sz val="14"/>
      <color indexed="20"/>
      <name val="Arial"/>
      <family val="2"/>
    </font>
    <font>
      <sz val="10"/>
      <color indexed="12"/>
      <name val="Arial"/>
      <family val="2"/>
    </font>
    <font>
      <sz val="10"/>
      <color indexed="48"/>
      <name val="Arial"/>
      <family val="2"/>
    </font>
    <font>
      <b/>
      <sz val="10"/>
      <name val="Arial"/>
      <family val="2"/>
    </font>
    <font>
      <sz val="10"/>
      <color indexed="10"/>
      <name val="Arial"/>
      <family val="2"/>
    </font>
    <font>
      <sz val="10"/>
      <color indexed="20"/>
      <name val="Arial"/>
      <family val="2"/>
    </font>
    <font>
      <sz val="10"/>
      <color theme="3"/>
      <name val="Arial"/>
      <family val="2"/>
    </font>
    <font>
      <sz val="10"/>
      <color theme="0" tint="-0.499984740745262"/>
      <name val="Arial"/>
      <family val="2"/>
    </font>
    <font>
      <i/>
      <sz val="10"/>
      <name val="Arial"/>
      <family val="2"/>
    </font>
    <font>
      <sz val="10"/>
      <color indexed="8"/>
      <name val="Arial"/>
      <family val="2"/>
    </font>
    <font>
      <b/>
      <sz val="11"/>
      <color indexed="8"/>
      <name val="ARIAL"/>
      <family val="2"/>
    </font>
    <font>
      <b/>
      <sz val="8"/>
      <color theme="6" tint="-0.499984740745262"/>
      <name val="Arial"/>
      <family val="2"/>
    </font>
    <font>
      <b/>
      <sz val="8"/>
      <color indexed="12"/>
      <name val="Arial"/>
      <family val="2"/>
    </font>
    <font>
      <sz val="9"/>
      <name val="Arial"/>
      <family val="2"/>
    </font>
    <font>
      <sz val="10"/>
      <color theme="6" tint="-0.499984740745262"/>
      <name val="Arial"/>
      <family val="2"/>
    </font>
    <font>
      <sz val="10"/>
      <color theme="1"/>
      <name val="Calibri"/>
      <family val="2"/>
      <scheme val="minor"/>
    </font>
    <font>
      <b/>
      <sz val="10"/>
      <color theme="6" tint="-0.499984740745262"/>
      <name val="Arial"/>
      <family val="2"/>
    </font>
    <font>
      <sz val="10"/>
      <color theme="6" tint="-0.499984740745262"/>
      <name val="Calibri"/>
      <family val="2"/>
      <scheme val="minor"/>
    </font>
    <font>
      <b/>
      <sz val="9"/>
      <color theme="6" tint="-0.499984740745262"/>
      <name val="Arial"/>
      <family val="2"/>
    </font>
    <font>
      <b/>
      <i/>
      <sz val="10"/>
      <color theme="1"/>
      <name val="Calibri"/>
      <family val="2"/>
      <scheme val="minor"/>
    </font>
    <font>
      <b/>
      <i/>
      <sz val="8"/>
      <color theme="1"/>
      <name val="Calibri"/>
      <family val="2"/>
      <scheme val="minor"/>
    </font>
    <font>
      <sz val="9"/>
      <color rgb="FFFF0000"/>
      <name val="Calibri"/>
      <family val="2"/>
      <scheme val="minor"/>
    </font>
    <font>
      <sz val="8"/>
      <color theme="1"/>
      <name val="Calibri"/>
      <family val="2"/>
      <scheme val="minor"/>
    </font>
    <font>
      <sz val="10"/>
      <name val="Arial"/>
      <family val="2"/>
    </font>
    <font>
      <b/>
      <sz val="10"/>
      <color indexed="10"/>
      <name val="Arial"/>
      <family val="2"/>
    </font>
    <font>
      <sz val="10"/>
      <color theme="1"/>
      <name val="Arial"/>
      <family val="2"/>
    </font>
    <font>
      <sz val="10"/>
      <color rgb="FFFF0000"/>
      <name val="Arial"/>
      <family val="2"/>
    </font>
    <font>
      <b/>
      <sz val="8"/>
      <color indexed="81"/>
      <name val="Tahoma"/>
      <family val="2"/>
    </font>
    <font>
      <sz val="8"/>
      <color indexed="81"/>
      <name val="Tahoma"/>
      <family val="2"/>
    </font>
    <font>
      <sz val="11"/>
      <color rgb="FFFF0000"/>
      <name val="Calibri"/>
      <family val="2"/>
      <scheme val="minor"/>
    </font>
  </fonts>
  <fills count="23">
    <fill>
      <patternFill patternType="none"/>
    </fill>
    <fill>
      <patternFill patternType="gray125"/>
    </fill>
    <fill>
      <patternFill patternType="solid">
        <fgColor theme="1" tint="0.249977111117893"/>
        <bgColor indexed="64"/>
      </patternFill>
    </fill>
    <fill>
      <patternFill patternType="solid">
        <fgColor theme="4"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indexed="22"/>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
      <patternFill patternType="solid">
        <fgColor rgb="FF00B050"/>
        <bgColor indexed="64"/>
      </patternFill>
    </fill>
    <fill>
      <patternFill patternType="solid">
        <fgColor indexed="9"/>
        <bgColor indexed="64"/>
      </patternFill>
    </fill>
    <fill>
      <patternFill patternType="solid">
        <fgColor indexed="42"/>
        <bgColor indexed="64"/>
      </patternFill>
    </fill>
    <fill>
      <patternFill patternType="solid">
        <fgColor indexed="41"/>
        <bgColor indexed="64"/>
      </patternFill>
    </fill>
    <fill>
      <patternFill patternType="solid">
        <fgColor theme="0"/>
        <bgColor indexed="64"/>
      </patternFill>
    </fill>
  </fills>
  <borders count="7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style="thick">
        <color indexed="64"/>
      </right>
      <top/>
      <bottom style="medium">
        <color indexed="64"/>
      </bottom>
      <diagonal/>
    </border>
    <border>
      <left style="thick">
        <color indexed="64"/>
      </left>
      <right/>
      <top style="medium">
        <color indexed="64"/>
      </top>
      <bottom/>
      <diagonal/>
    </border>
    <border>
      <left style="medium">
        <color indexed="64"/>
      </left>
      <right style="medium">
        <color indexed="64"/>
      </right>
      <top style="medium">
        <color indexed="64"/>
      </top>
      <bottom/>
      <diagonal/>
    </border>
    <border>
      <left/>
      <right style="thick">
        <color indexed="64"/>
      </right>
      <top style="medium">
        <color indexed="64"/>
      </top>
      <bottom/>
      <diagonal/>
    </border>
    <border>
      <left style="medium">
        <color indexed="64"/>
      </left>
      <right style="medium">
        <color indexed="64"/>
      </right>
      <top/>
      <bottom/>
      <diagonal/>
    </border>
    <border>
      <left style="thick">
        <color indexed="64"/>
      </left>
      <right/>
      <top/>
      <bottom style="medium">
        <color indexed="64"/>
      </bottom>
      <diagonal/>
    </border>
    <border>
      <left style="medium">
        <color indexed="64"/>
      </left>
      <right style="medium">
        <color indexed="64"/>
      </right>
      <top/>
      <bottom style="medium">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double">
        <color indexed="64"/>
      </bottom>
      <diagonal/>
    </border>
    <border>
      <left/>
      <right/>
      <top style="medium">
        <color indexed="64"/>
      </top>
      <bottom style="double">
        <color indexed="64"/>
      </bottom>
      <diagonal/>
    </border>
    <border>
      <left/>
      <right style="thin">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style="thin">
        <color indexed="64"/>
      </right>
      <top style="double">
        <color indexed="64"/>
      </top>
      <bottom/>
      <diagonal/>
    </border>
    <border>
      <left style="thin">
        <color indexed="64"/>
      </left>
      <right style="medium">
        <color indexed="64"/>
      </right>
      <top style="double">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double">
        <color indexed="64"/>
      </top>
      <bottom style="double">
        <color indexed="64"/>
      </bottom>
      <diagonal/>
    </border>
    <border>
      <left style="medium">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medium">
        <color indexed="64"/>
      </left>
      <right style="medium">
        <color indexed="64"/>
      </right>
      <top style="medium">
        <color indexed="64"/>
      </top>
      <bottom style="double">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9">
    <xf numFmtId="0" fontId="0" fillId="0" borderId="0"/>
    <xf numFmtId="44" fontId="1" fillId="0" borderId="0" applyFont="0" applyFill="0" applyBorder="0" applyAlignment="0" applyProtection="0"/>
    <xf numFmtId="0" fontId="8" fillId="0" borderId="0"/>
    <xf numFmtId="0" fontId="8" fillId="0" borderId="0"/>
    <xf numFmtId="37" fontId="10" fillId="0" borderId="0"/>
    <xf numFmtId="43" fontId="1" fillId="0" borderId="0" applyFont="0" applyFill="0" applyBorder="0" applyAlignment="0" applyProtection="0"/>
    <xf numFmtId="0" fontId="23" fillId="0" borderId="0">
      <alignment vertical="top"/>
    </xf>
    <xf numFmtId="0" fontId="37" fillId="0" borderId="0"/>
    <xf numFmtId="43" fontId="8" fillId="0" borderId="0" applyFont="0" applyFill="0" applyBorder="0" applyAlignment="0" applyProtection="0"/>
  </cellStyleXfs>
  <cellXfs count="504">
    <xf numFmtId="0" fontId="0" fillId="0" borderId="0" xfId="0"/>
    <xf numFmtId="0" fontId="2" fillId="0" borderId="4" xfId="0" applyFont="1" applyBorder="1" applyAlignment="1">
      <alignment horizontal="center"/>
    </xf>
    <xf numFmtId="0" fontId="2"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0" xfId="0" quotePrefix="1" applyFont="1" applyAlignment="1">
      <alignment horizontal="center"/>
    </xf>
    <xf numFmtId="0" fontId="0" fillId="2" borderId="0" xfId="0" applyFill="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0" borderId="11" xfId="0" quotePrefix="1" applyFont="1" applyBorder="1" applyAlignment="1">
      <alignment horizontal="center"/>
    </xf>
    <xf numFmtId="0" fontId="2" fillId="0" borderId="11" xfId="0" applyFont="1" applyBorder="1" applyAlignment="1">
      <alignment horizontal="center"/>
    </xf>
    <xf numFmtId="0" fontId="2" fillId="3" borderId="11" xfId="0" applyFont="1" applyFill="1" applyBorder="1" applyAlignment="1">
      <alignment horizontal="center"/>
    </xf>
    <xf numFmtId="0" fontId="2" fillId="4" borderId="11" xfId="0" applyFont="1" applyFill="1" applyBorder="1" applyAlignment="1">
      <alignment horizontal="center"/>
    </xf>
    <xf numFmtId="0" fontId="2" fillId="0" borderId="0" xfId="0" applyFont="1" applyFill="1" applyBorder="1" applyAlignment="1">
      <alignment horizontal="center"/>
    </xf>
    <xf numFmtId="2" fontId="2" fillId="0" borderId="0" xfId="0" applyNumberFormat="1" applyFont="1" applyAlignment="1">
      <alignment horizontal="center"/>
    </xf>
    <xf numFmtId="44" fontId="2" fillId="0" borderId="0" xfId="1" applyFont="1" applyAlignment="1">
      <alignment horizontal="center"/>
    </xf>
    <xf numFmtId="3" fontId="2" fillId="0" borderId="0" xfId="0" applyNumberFormat="1" applyFont="1" applyAlignment="1">
      <alignment horizontal="center"/>
    </xf>
    <xf numFmtId="164" fontId="2" fillId="0" borderId="0" xfId="0" quotePrefix="1" applyNumberFormat="1" applyFont="1" applyAlignment="1">
      <alignment horizontal="center"/>
    </xf>
    <xf numFmtId="165" fontId="2" fillId="0" borderId="0" xfId="0" quotePrefix="1" applyNumberFormat="1" applyFont="1" applyAlignment="1">
      <alignment horizontal="center"/>
    </xf>
    <xf numFmtId="166" fontId="2" fillId="0" borderId="0" xfId="0" quotePrefix="1" applyNumberFormat="1" applyFont="1" applyAlignment="1">
      <alignment horizontal="center"/>
    </xf>
    <xf numFmtId="44" fontId="2" fillId="0" borderId="0" xfId="0" applyNumberFormat="1" applyFont="1" applyAlignment="1">
      <alignment horizontal="center"/>
    </xf>
    <xf numFmtId="3" fontId="0" fillId="0" borderId="0" xfId="0" applyNumberFormat="1" applyFont="1" applyAlignment="1">
      <alignment horizontal="right" vertical="center" wrapText="1"/>
    </xf>
    <xf numFmtId="167" fontId="0" fillId="0" borderId="0" xfId="0" applyNumberFormat="1" applyFont="1" applyAlignment="1">
      <alignment horizontal="right" vertical="center" wrapText="1"/>
    </xf>
    <xf numFmtId="0" fontId="0" fillId="0" borderId="0" xfId="0" applyFont="1" applyAlignment="1">
      <alignment horizontal="right" vertical="center" wrapText="1"/>
    </xf>
    <xf numFmtId="3" fontId="0" fillId="0" borderId="0" xfId="0" applyNumberFormat="1" applyFont="1" applyBorder="1" applyAlignment="1">
      <alignment horizontal="right" vertical="center" wrapText="1"/>
    </xf>
    <xf numFmtId="37" fontId="0" fillId="0" borderId="0" xfId="0" applyNumberFormat="1"/>
    <xf numFmtId="2" fontId="0" fillId="0" borderId="0" xfId="0" applyNumberFormat="1"/>
    <xf numFmtId="0" fontId="0" fillId="0" borderId="0" xfId="0" applyFont="1" applyBorder="1" applyAlignment="1">
      <alignment horizontal="right" vertical="center" wrapText="1"/>
    </xf>
    <xf numFmtId="0" fontId="0" fillId="0" borderId="0" xfId="0" applyAlignment="1"/>
    <xf numFmtId="0" fontId="0" fillId="0" borderId="0" xfId="0" applyAlignment="1">
      <alignment horizontal="right"/>
    </xf>
    <xf numFmtId="37" fontId="3" fillId="0" borderId="0" xfId="0" applyNumberFormat="1" applyFont="1"/>
    <xf numFmtId="0" fontId="3" fillId="0" borderId="0" xfId="0" applyFont="1"/>
    <xf numFmtId="0" fontId="3" fillId="0" borderId="0" xfId="0" applyFont="1" applyAlignment="1">
      <alignment horizontal="right"/>
    </xf>
    <xf numFmtId="10" fontId="2" fillId="0" borderId="0" xfId="0" applyNumberFormat="1" applyFont="1"/>
    <xf numFmtId="37" fontId="2" fillId="0" borderId="0" xfId="1" applyNumberFormat="1" applyFont="1" applyAlignment="1">
      <alignment horizontal="center"/>
    </xf>
    <xf numFmtId="1" fontId="2" fillId="0" borderId="0" xfId="0" applyNumberFormat="1" applyFont="1"/>
    <xf numFmtId="0" fontId="3" fillId="7" borderId="12" xfId="0" applyFont="1" applyFill="1" applyBorder="1"/>
    <xf numFmtId="0" fontId="3" fillId="7" borderId="10" xfId="0" applyFont="1" applyFill="1" applyBorder="1" applyAlignment="1">
      <alignment horizontal="center"/>
    </xf>
    <xf numFmtId="21" fontId="0" fillId="0" borderId="12" xfId="0" applyNumberFormat="1" applyBorder="1" applyAlignment="1">
      <alignment horizontal="left"/>
    </xf>
    <xf numFmtId="1" fontId="0" fillId="0" borderId="12" xfId="0" applyNumberFormat="1" applyBorder="1"/>
    <xf numFmtId="21" fontId="3" fillId="7" borderId="12" xfId="0" applyNumberFormat="1" applyFont="1" applyFill="1" applyBorder="1" applyAlignment="1">
      <alignment horizontal="left"/>
    </xf>
    <xf numFmtId="1" fontId="3" fillId="7" borderId="12" xfId="0" applyNumberFormat="1" applyFont="1" applyFill="1" applyBorder="1"/>
    <xf numFmtId="1" fontId="0" fillId="0" borderId="7" xfId="0" applyNumberFormat="1" applyFill="1" applyBorder="1"/>
    <xf numFmtId="1" fontId="0" fillId="0" borderId="0" xfId="0" applyNumberFormat="1"/>
    <xf numFmtId="0" fontId="5" fillId="0" borderId="0" xfId="0" applyFont="1"/>
    <xf numFmtId="1" fontId="3" fillId="0" borderId="0" xfId="0" applyNumberFormat="1" applyFont="1"/>
    <xf numFmtId="2" fontId="0" fillId="0" borderId="0" xfId="0" applyNumberFormat="1" applyAlignment="1">
      <alignment horizontal="right"/>
    </xf>
    <xf numFmtId="0" fontId="0" fillId="0" borderId="0" xfId="0" applyFont="1"/>
    <xf numFmtId="0" fontId="3" fillId="0" borderId="0" xfId="0" applyFont="1" applyAlignment="1">
      <alignment horizontal="center"/>
    </xf>
    <xf numFmtId="1" fontId="3" fillId="0" borderId="0" xfId="0" applyNumberFormat="1" applyFont="1" applyAlignment="1">
      <alignment horizontal="center"/>
    </xf>
    <xf numFmtId="2" fontId="3" fillId="0" borderId="0" xfId="0" applyNumberFormat="1" applyFont="1"/>
    <xf numFmtId="8" fontId="0" fillId="0" borderId="0" xfId="0" applyNumberFormat="1"/>
    <xf numFmtId="166" fontId="0" fillId="0" borderId="0" xfId="0" applyNumberFormat="1"/>
    <xf numFmtId="0" fontId="6" fillId="0" borderId="0" xfId="0" applyFont="1" applyAlignment="1">
      <alignment horizontal="center"/>
    </xf>
    <xf numFmtId="17" fontId="3" fillId="0" borderId="0" xfId="0" applyNumberFormat="1" applyFont="1" applyFill="1" applyBorder="1"/>
    <xf numFmtId="166" fontId="3" fillId="0" borderId="0" xfId="0" applyNumberFormat="1" applyFont="1"/>
    <xf numFmtId="166" fontId="2" fillId="0" borderId="0" xfId="1" applyNumberFormat="1" applyFont="1" applyAlignment="1">
      <alignment horizontal="center"/>
    </xf>
    <xf numFmtId="6" fontId="0" fillId="0" borderId="0" xfId="0" applyNumberFormat="1"/>
    <xf numFmtId="6" fontId="5" fillId="0" borderId="0" xfId="0" applyNumberFormat="1" applyFont="1"/>
    <xf numFmtId="6" fontId="3" fillId="0" borderId="0" xfId="0" applyNumberFormat="1" applyFont="1"/>
    <xf numFmtId="166" fontId="2" fillId="0" borderId="0" xfId="0" applyNumberFormat="1" applyFont="1"/>
    <xf numFmtId="164" fontId="2" fillId="8" borderId="13" xfId="0" quotePrefix="1" applyNumberFormat="1" applyFont="1" applyFill="1" applyBorder="1" applyAlignment="1">
      <alignment horizontal="center"/>
    </xf>
    <xf numFmtId="3" fontId="2" fillId="8" borderId="14" xfId="0" applyNumberFormat="1" applyFont="1" applyFill="1" applyBorder="1" applyAlignment="1">
      <alignment horizontal="center"/>
    </xf>
    <xf numFmtId="164" fontId="2" fillId="8" borderId="15" xfId="0" quotePrefix="1" applyNumberFormat="1" applyFont="1" applyFill="1" applyBorder="1" applyAlignment="1">
      <alignment horizontal="center"/>
    </xf>
    <xf numFmtId="166" fontId="2" fillId="8" borderId="16" xfId="1" applyNumberFormat="1" applyFont="1" applyFill="1" applyBorder="1" applyAlignment="1">
      <alignment horizontal="center"/>
    </xf>
    <xf numFmtId="164" fontId="2" fillId="8" borderId="17" xfId="0" quotePrefix="1" applyNumberFormat="1" applyFont="1" applyFill="1" applyBorder="1" applyAlignment="1">
      <alignment horizontal="center"/>
    </xf>
    <xf numFmtId="44" fontId="2" fillId="8" borderId="18" xfId="1" applyFont="1" applyFill="1" applyBorder="1" applyAlignment="1">
      <alignment horizontal="center"/>
    </xf>
    <xf numFmtId="0" fontId="2" fillId="8" borderId="13" xfId="0" applyFont="1" applyFill="1" applyBorder="1" applyAlignment="1">
      <alignment horizontal="center"/>
    </xf>
    <xf numFmtId="0" fontId="2" fillId="8" borderId="19" xfId="0" applyFont="1" applyFill="1" applyBorder="1" applyAlignment="1">
      <alignment horizontal="center"/>
    </xf>
    <xf numFmtId="0" fontId="2" fillId="8" borderId="17" xfId="0" applyFont="1" applyFill="1" applyBorder="1" applyAlignment="1">
      <alignment horizontal="center"/>
    </xf>
    <xf numFmtId="0" fontId="2" fillId="8" borderId="20" xfId="0" applyFont="1" applyFill="1" applyBorder="1" applyAlignment="1">
      <alignment horizontal="center"/>
    </xf>
    <xf numFmtId="0" fontId="2" fillId="8" borderId="15" xfId="0" applyFont="1" applyFill="1" applyBorder="1" applyAlignment="1">
      <alignment horizontal="center"/>
    </xf>
    <xf numFmtId="0" fontId="2" fillId="8" borderId="0" xfId="0" applyFont="1" applyFill="1" applyBorder="1" applyAlignment="1">
      <alignment horizontal="center"/>
    </xf>
    <xf numFmtId="8" fontId="3" fillId="0" borderId="0" xfId="0" applyNumberFormat="1" applyFont="1"/>
    <xf numFmtId="3" fontId="3" fillId="0" borderId="0" xfId="0" applyNumberFormat="1" applyFont="1"/>
    <xf numFmtId="3" fontId="0" fillId="0" borderId="0" xfId="0" applyNumberFormat="1"/>
    <xf numFmtId="6" fontId="0" fillId="0" borderId="0" xfId="0" applyNumberFormat="1" applyFont="1"/>
    <xf numFmtId="169" fontId="5" fillId="0" borderId="0" xfId="0" applyNumberFormat="1" applyFont="1"/>
    <xf numFmtId="168" fontId="0" fillId="0" borderId="0" xfId="0" applyNumberFormat="1"/>
    <xf numFmtId="5" fontId="5" fillId="0" borderId="0" xfId="0" applyNumberFormat="1" applyFont="1"/>
    <xf numFmtId="168" fontId="3" fillId="0" borderId="0" xfId="0" applyNumberFormat="1" applyFont="1"/>
    <xf numFmtId="0" fontId="7" fillId="0" borderId="0" xfId="0" applyFont="1" applyAlignment="1">
      <alignment horizontal="center"/>
    </xf>
    <xf numFmtId="0" fontId="0" fillId="0" borderId="0" xfId="0" applyFont="1" applyAlignment="1">
      <alignment horizontal="right"/>
    </xf>
    <xf numFmtId="0" fontId="6" fillId="0" borderId="0" xfId="0" applyFont="1"/>
    <xf numFmtId="7" fontId="3" fillId="0" borderId="0" xfId="0" applyNumberFormat="1" applyFont="1"/>
    <xf numFmtId="0" fontId="2" fillId="0" borderId="1" xfId="0" applyFont="1" applyBorder="1" applyAlignment="1">
      <alignment horizontal="center"/>
    </xf>
    <xf numFmtId="0" fontId="0" fillId="0" borderId="0" xfId="0"/>
    <xf numFmtId="8" fontId="0" fillId="0" borderId="0" xfId="0" applyNumberFormat="1"/>
    <xf numFmtId="0" fontId="3" fillId="9" borderId="0" xfId="0" applyFont="1" applyFill="1" applyAlignment="1">
      <alignment horizontal="center"/>
    </xf>
    <xf numFmtId="4" fontId="2" fillId="9" borderId="0" xfId="0" quotePrefix="1" applyNumberFormat="1" applyFont="1" applyFill="1" applyAlignment="1">
      <alignment horizontal="center"/>
    </xf>
    <xf numFmtId="3" fontId="2" fillId="9" borderId="0" xfId="0" quotePrefix="1" applyNumberFormat="1" applyFont="1" applyFill="1" applyAlignment="1">
      <alignment horizontal="center"/>
    </xf>
    <xf numFmtId="168" fontId="2" fillId="9" borderId="0" xfId="0" quotePrefix="1" applyNumberFormat="1" applyFont="1" applyFill="1" applyAlignment="1">
      <alignment horizontal="center"/>
    </xf>
    <xf numFmtId="8" fontId="2" fillId="0" borderId="0" xfId="1" applyNumberFormat="1" applyFont="1" applyAlignment="1">
      <alignment horizontal="center"/>
    </xf>
    <xf numFmtId="1" fontId="2" fillId="0" borderId="0" xfId="0" applyNumberFormat="1" applyFont="1" applyAlignment="1">
      <alignment horizontal="center"/>
    </xf>
    <xf numFmtId="1" fontId="0" fillId="10" borderId="0" xfId="0" applyNumberFormat="1" applyFill="1"/>
    <xf numFmtId="0" fontId="0" fillId="10" borderId="0" xfId="0" applyFill="1"/>
    <xf numFmtId="1" fontId="0" fillId="0" borderId="0" xfId="0" applyNumberFormat="1" applyFill="1"/>
    <xf numFmtId="3" fontId="0" fillId="0" borderId="0" xfId="0" applyNumberFormat="1" applyFill="1"/>
    <xf numFmtId="0" fontId="2" fillId="11" borderId="19" xfId="0" applyFont="1" applyFill="1" applyBorder="1" applyAlignment="1">
      <alignment horizontal="center"/>
    </xf>
    <xf numFmtId="0" fontId="2" fillId="11" borderId="14" xfId="0" applyFont="1" applyFill="1" applyBorder="1" applyAlignment="1">
      <alignment horizontal="center"/>
    </xf>
    <xf numFmtId="0" fontId="2" fillId="11" borderId="20" xfId="0" applyFont="1" applyFill="1" applyBorder="1" applyAlignment="1">
      <alignment horizontal="center"/>
    </xf>
    <xf numFmtId="0" fontId="2" fillId="11" borderId="18" xfId="0" applyFont="1" applyFill="1" applyBorder="1" applyAlignment="1">
      <alignment horizontal="center"/>
    </xf>
    <xf numFmtId="0" fontId="2" fillId="11" borderId="0" xfId="0" applyFont="1" applyFill="1" applyBorder="1" applyAlignment="1">
      <alignment horizontal="center"/>
    </xf>
    <xf numFmtId="0" fontId="2" fillId="11" borderId="16" xfId="0" applyFont="1" applyFill="1" applyBorder="1" applyAlignment="1">
      <alignment horizontal="center"/>
    </xf>
    <xf numFmtId="164" fontId="2" fillId="8" borderId="20" xfId="0" quotePrefix="1" applyNumberFormat="1" applyFont="1" applyFill="1" applyBorder="1" applyAlignment="1">
      <alignment horizontal="center"/>
    </xf>
    <xf numFmtId="0" fontId="0" fillId="0" borderId="0" xfId="0" applyBorder="1"/>
    <xf numFmtId="0" fontId="2" fillId="0" borderId="1" xfId="0" applyFont="1" applyBorder="1" applyAlignment="1">
      <alignment horizontal="center"/>
    </xf>
    <xf numFmtId="0" fontId="3" fillId="0" borderId="0" xfId="0" applyFont="1" applyAlignment="1">
      <alignment horizontal="center"/>
    </xf>
    <xf numFmtId="0" fontId="2" fillId="0" borderId="1" xfId="0" applyFont="1" applyBorder="1" applyAlignment="1">
      <alignment horizontal="center"/>
    </xf>
    <xf numFmtId="0" fontId="3" fillId="0" borderId="0" xfId="0" applyFont="1" applyAlignment="1">
      <alignment horizontal="center"/>
    </xf>
    <xf numFmtId="164" fontId="2" fillId="0" borderId="0" xfId="0" quotePrefix="1" applyNumberFormat="1" applyFont="1" applyAlignment="1">
      <alignment horizontal="right"/>
    </xf>
    <xf numFmtId="1" fontId="2" fillId="0" borderId="0" xfId="0" quotePrefix="1" applyNumberFormat="1" applyFont="1" applyAlignment="1">
      <alignment horizontal="center"/>
    </xf>
    <xf numFmtId="2" fontId="0" fillId="0" borderId="0" xfId="0" applyNumberFormat="1" applyFill="1"/>
    <xf numFmtId="10" fontId="0" fillId="0" borderId="0" xfId="0" applyNumberFormat="1"/>
    <xf numFmtId="44" fontId="2" fillId="0" borderId="0" xfId="1" applyFont="1" applyAlignment="1">
      <alignment horizontal="right"/>
    </xf>
    <xf numFmtId="8" fontId="5" fillId="0" borderId="0" xfId="0" applyNumberFormat="1" applyFont="1"/>
    <xf numFmtId="0" fontId="0" fillId="0" borderId="0" xfId="0" applyFont="1" applyAlignment="1">
      <alignment horizontal="left"/>
    </xf>
    <xf numFmtId="1" fontId="2" fillId="0" borderId="11" xfId="0" applyNumberFormat="1" applyFont="1" applyBorder="1" applyAlignment="1">
      <alignment horizontal="center"/>
    </xf>
    <xf numFmtId="1" fontId="9" fillId="0" borderId="0" xfId="0" applyNumberFormat="1" applyFont="1" applyAlignment="1">
      <alignment horizontal="center"/>
    </xf>
    <xf numFmtId="37" fontId="11" fillId="0" borderId="0" xfId="4" applyFont="1" applyAlignment="1">
      <alignment horizontal="right"/>
    </xf>
    <xf numFmtId="37" fontId="12" fillId="0" borderId="0" xfId="4" applyFont="1"/>
    <xf numFmtId="37" fontId="8" fillId="0" borderId="0" xfId="4" applyFont="1"/>
    <xf numFmtId="37" fontId="13" fillId="0" borderId="0" xfId="4" applyFont="1" applyAlignment="1">
      <alignment horizontal="right"/>
    </xf>
    <xf numFmtId="37" fontId="14" fillId="0" borderId="0" xfId="4" applyFont="1" applyAlignment="1">
      <alignment horizontal="right"/>
    </xf>
    <xf numFmtId="37" fontId="8" fillId="0" borderId="0" xfId="4" applyFont="1" applyAlignment="1">
      <alignment horizontal="right"/>
    </xf>
    <xf numFmtId="37" fontId="15" fillId="0" borderId="0" xfId="4" applyFont="1" applyAlignment="1">
      <alignment horizontal="center"/>
    </xf>
    <xf numFmtId="39" fontId="8" fillId="0" borderId="0" xfId="4" applyNumberFormat="1" applyFont="1" applyAlignment="1">
      <alignment horizontal="center"/>
    </xf>
    <xf numFmtId="37" fontId="8" fillId="0" borderId="0" xfId="4" applyFont="1" applyAlignment="1">
      <alignment horizontal="center"/>
    </xf>
    <xf numFmtId="37" fontId="8" fillId="0" borderId="0" xfId="4" applyFont="1" applyFill="1"/>
    <xf numFmtId="37" fontId="8" fillId="0" borderId="0" xfId="4" applyFont="1" applyProtection="1"/>
    <xf numFmtId="37" fontId="8" fillId="0" borderId="0" xfId="4" applyFont="1" applyFill="1" applyProtection="1"/>
    <xf numFmtId="37" fontId="8" fillId="0" borderId="21" xfId="4" applyFont="1" applyBorder="1" applyProtection="1"/>
    <xf numFmtId="37" fontId="8" fillId="0" borderId="22" xfId="4" applyFont="1" applyBorder="1" applyProtection="1"/>
    <xf numFmtId="37" fontId="8" fillId="0" borderId="23" xfId="4" applyFont="1" applyBorder="1" applyProtection="1"/>
    <xf numFmtId="37" fontId="8" fillId="0" borderId="0" xfId="4" applyFont="1" applyFill="1" applyBorder="1" applyProtection="1"/>
    <xf numFmtId="37" fontId="8" fillId="0" borderId="24" xfId="4" applyFont="1" applyBorder="1" applyProtection="1"/>
    <xf numFmtId="37" fontId="8" fillId="0" borderId="0" xfId="4" applyFont="1" applyBorder="1" applyProtection="1"/>
    <xf numFmtId="37" fontId="8" fillId="0" borderId="0" xfId="4" applyFont="1" applyBorder="1" applyAlignment="1" applyProtection="1">
      <alignment horizontal="center"/>
    </xf>
    <xf numFmtId="37" fontId="8" fillId="0" borderId="25" xfId="4" applyFont="1" applyBorder="1" applyProtection="1"/>
    <xf numFmtId="49" fontId="8" fillId="0" borderId="0" xfId="4" applyNumberFormat="1" applyFont="1" applyAlignment="1">
      <alignment horizontal="center"/>
    </xf>
    <xf numFmtId="169" fontId="8" fillId="0" borderId="0" xfId="4" applyNumberFormat="1" applyFont="1" applyAlignment="1">
      <alignment horizontal="center"/>
    </xf>
    <xf numFmtId="37" fontId="8" fillId="0" borderId="0" xfId="4" applyFont="1" applyBorder="1"/>
    <xf numFmtId="169" fontId="16" fillId="0" borderId="0" xfId="4" applyNumberFormat="1" applyFont="1" applyBorder="1" applyAlignment="1" applyProtection="1">
      <alignment horizontal="center"/>
    </xf>
    <xf numFmtId="37" fontId="8" fillId="12" borderId="27" xfId="4" applyFont="1" applyFill="1" applyBorder="1" applyProtection="1"/>
    <xf numFmtId="37" fontId="8" fillId="12" borderId="28" xfId="4" applyFont="1" applyFill="1" applyBorder="1" applyAlignment="1" applyProtection="1">
      <alignment horizontal="center"/>
    </xf>
    <xf numFmtId="37" fontId="8" fillId="12" borderId="19" xfId="4" applyFont="1" applyFill="1" applyBorder="1" applyAlignment="1" applyProtection="1">
      <alignment horizontal="center"/>
    </xf>
    <xf numFmtId="37" fontId="8" fillId="12" borderId="19" xfId="4" applyFont="1" applyFill="1" applyBorder="1" applyProtection="1"/>
    <xf numFmtId="37" fontId="8" fillId="12" borderId="14" xfId="4" applyFont="1" applyFill="1" applyBorder="1" applyProtection="1"/>
    <xf numFmtId="37" fontId="8" fillId="12" borderId="13" xfId="4" applyFont="1" applyFill="1" applyBorder="1" applyProtection="1"/>
    <xf numFmtId="37" fontId="8" fillId="12" borderId="29" xfId="4" applyFont="1" applyFill="1" applyBorder="1" applyAlignment="1" applyProtection="1">
      <alignment horizontal="center"/>
    </xf>
    <xf numFmtId="37" fontId="8" fillId="0" borderId="0" xfId="4" applyFont="1" applyFill="1" applyBorder="1" applyAlignment="1" applyProtection="1">
      <alignment horizontal="center"/>
    </xf>
    <xf numFmtId="37" fontId="17" fillId="0" borderId="0" xfId="4" applyFont="1"/>
    <xf numFmtId="37" fontId="8" fillId="12" borderId="24" xfId="4" applyFont="1" applyFill="1" applyBorder="1" applyProtection="1"/>
    <xf numFmtId="37" fontId="8" fillId="12" borderId="30" xfId="4" applyFont="1" applyFill="1" applyBorder="1" applyProtection="1"/>
    <xf numFmtId="37" fontId="8" fillId="12" borderId="0" xfId="4" applyFont="1" applyFill="1" applyBorder="1" applyProtection="1"/>
    <xf numFmtId="37" fontId="8" fillId="12" borderId="16" xfId="4" applyFont="1" applyFill="1" applyBorder="1" applyProtection="1"/>
    <xf numFmtId="37" fontId="8" fillId="12" borderId="15" xfId="4" applyFont="1" applyFill="1" applyBorder="1" applyAlignment="1" applyProtection="1">
      <alignment horizontal="center"/>
    </xf>
    <xf numFmtId="37" fontId="8" fillId="12" borderId="16" xfId="4" applyFont="1" applyFill="1" applyBorder="1" applyAlignment="1" applyProtection="1">
      <alignment horizontal="center"/>
    </xf>
    <xf numFmtId="37" fontId="8" fillId="12" borderId="30" xfId="4" applyFont="1" applyFill="1" applyBorder="1" applyAlignment="1" applyProtection="1">
      <alignment horizontal="center"/>
    </xf>
    <xf numFmtId="37" fontId="8" fillId="12" borderId="25" xfId="4" applyFont="1" applyFill="1" applyBorder="1" applyAlignment="1" applyProtection="1">
      <alignment horizontal="center"/>
    </xf>
    <xf numFmtId="37" fontId="8" fillId="0" borderId="0" xfId="4" applyFont="1" applyAlignment="1" applyProtection="1">
      <alignment horizontal="center"/>
    </xf>
    <xf numFmtId="37" fontId="8" fillId="12" borderId="0" xfId="4" applyFont="1" applyFill="1" applyBorder="1" applyAlignment="1" applyProtection="1">
      <alignment horizontal="center"/>
    </xf>
    <xf numFmtId="37" fontId="8" fillId="12" borderId="24" xfId="4" applyFont="1" applyFill="1" applyBorder="1" applyAlignment="1" applyProtection="1">
      <alignment horizontal="center"/>
    </xf>
    <xf numFmtId="37" fontId="8" fillId="12" borderId="31" xfId="4" applyFont="1" applyFill="1" applyBorder="1" applyProtection="1"/>
    <xf numFmtId="37" fontId="8" fillId="12" borderId="32" xfId="4" applyFont="1" applyFill="1" applyBorder="1" applyAlignment="1" applyProtection="1">
      <alignment horizontal="center"/>
    </xf>
    <xf numFmtId="37" fontId="8" fillId="12" borderId="20" xfId="4" applyFont="1" applyFill="1" applyBorder="1" applyAlignment="1" applyProtection="1">
      <alignment horizontal="center"/>
    </xf>
    <xf numFmtId="37" fontId="8" fillId="12" borderId="18" xfId="4" applyFont="1" applyFill="1" applyBorder="1" applyAlignment="1" applyProtection="1">
      <alignment horizontal="center"/>
    </xf>
    <xf numFmtId="37" fontId="8" fillId="12" borderId="17" xfId="4" applyFont="1" applyFill="1" applyBorder="1" applyAlignment="1" applyProtection="1">
      <alignment horizontal="center"/>
    </xf>
    <xf numFmtId="37" fontId="8" fillId="12" borderId="26" xfId="4" applyFont="1" applyFill="1" applyBorder="1" applyAlignment="1" applyProtection="1">
      <alignment horizontal="center"/>
    </xf>
    <xf numFmtId="37" fontId="8" fillId="0" borderId="30" xfId="4" applyFont="1" applyBorder="1" applyProtection="1"/>
    <xf numFmtId="37" fontId="8" fillId="0" borderId="16" xfId="4" applyFont="1" applyBorder="1" applyProtection="1"/>
    <xf numFmtId="37" fontId="8" fillId="0" borderId="13" xfId="4" applyFont="1" applyBorder="1" applyProtection="1"/>
    <xf numFmtId="37" fontId="8" fillId="0" borderId="19" xfId="4" applyFont="1" applyBorder="1" applyProtection="1"/>
    <xf numFmtId="37" fontId="8" fillId="0" borderId="14" xfId="4" applyFont="1" applyBorder="1" applyProtection="1"/>
    <xf numFmtId="170" fontId="18" fillId="0" borderId="30" xfId="4" applyNumberFormat="1" applyFont="1" applyBorder="1" applyProtection="1"/>
    <xf numFmtId="37" fontId="8" fillId="0" borderId="0" xfId="4" applyNumberFormat="1" applyFont="1" applyBorder="1" applyProtection="1"/>
    <xf numFmtId="37" fontId="18" fillId="0" borderId="30" xfId="4" applyNumberFormat="1" applyFont="1" applyBorder="1" applyProtection="1"/>
    <xf numFmtId="170" fontId="15" fillId="0" borderId="0" xfId="4" applyNumberFormat="1" applyFont="1" applyBorder="1" applyProtection="1"/>
    <xf numFmtId="170" fontId="8" fillId="0" borderId="16" xfId="4" applyNumberFormat="1" applyFont="1" applyBorder="1" applyProtection="1"/>
    <xf numFmtId="37" fontId="15" fillId="0" borderId="0" xfId="4" applyNumberFormat="1" applyFont="1" applyBorder="1" applyProtection="1"/>
    <xf numFmtId="37" fontId="15" fillId="0" borderId="15" xfId="4" applyNumberFormat="1" applyFont="1" applyBorder="1" applyProtection="1"/>
    <xf numFmtId="37" fontId="19" fillId="0" borderId="16" xfId="4" quotePrefix="1" applyNumberFormat="1" applyFont="1" applyBorder="1" applyProtection="1"/>
    <xf numFmtId="37" fontId="19" fillId="0" borderId="0" xfId="4" applyNumberFormat="1" applyFont="1" applyBorder="1" applyProtection="1"/>
    <xf numFmtId="37" fontId="8" fillId="0" borderId="30" xfId="4" applyNumberFormat="1" applyFont="1" applyBorder="1" applyProtection="1"/>
    <xf numFmtId="37" fontId="8" fillId="0" borderId="25" xfId="4" applyNumberFormat="1" applyFont="1" applyBorder="1" applyProtection="1"/>
    <xf numFmtId="37" fontId="8" fillId="0" borderId="0" xfId="4" applyNumberFormat="1" applyFont="1" applyFill="1" applyBorder="1" applyProtection="1"/>
    <xf numFmtId="37" fontId="20" fillId="0" borderId="0" xfId="4" applyNumberFormat="1" applyFont="1" applyProtection="1"/>
    <xf numFmtId="37" fontId="15" fillId="0" borderId="0" xfId="4" applyNumberFormat="1" applyFont="1" applyProtection="1"/>
    <xf numFmtId="37" fontId="21" fillId="0" borderId="0" xfId="4" applyNumberFormat="1" applyFont="1" applyBorder="1" applyProtection="1"/>
    <xf numFmtId="37" fontId="19" fillId="0" borderId="16" xfId="4" applyNumberFormat="1" applyFont="1" applyBorder="1" applyProtection="1"/>
    <xf numFmtId="37" fontId="8" fillId="0" borderId="0" xfId="4" applyNumberFormat="1" applyFont="1" applyProtection="1"/>
    <xf numFmtId="37" fontId="22" fillId="0" borderId="0" xfId="4" applyFont="1"/>
    <xf numFmtId="37" fontId="21" fillId="13" borderId="0" xfId="4" applyNumberFormat="1" applyFont="1" applyFill="1" applyBorder="1" applyProtection="1"/>
    <xf numFmtId="37" fontId="8" fillId="13" borderId="0" xfId="4" applyFont="1" applyFill="1"/>
    <xf numFmtId="37" fontId="22" fillId="13" borderId="0" xfId="4" applyFont="1" applyFill="1"/>
    <xf numFmtId="37" fontId="8" fillId="0" borderId="31" xfId="4" applyFont="1" applyBorder="1" applyProtection="1"/>
    <xf numFmtId="170" fontId="8" fillId="0" borderId="30" xfId="4" applyNumberFormat="1" applyFont="1" applyBorder="1" applyProtection="1"/>
    <xf numFmtId="170" fontId="8" fillId="0" borderId="0" xfId="4" applyNumberFormat="1" applyFont="1" applyBorder="1" applyProtection="1"/>
    <xf numFmtId="37" fontId="8" fillId="0" borderId="17" xfId="4" applyNumberFormat="1" applyFont="1" applyBorder="1" applyProtection="1"/>
    <xf numFmtId="37" fontId="8" fillId="0" borderId="20" xfId="4" applyNumberFormat="1" applyFont="1" applyBorder="1" applyProtection="1"/>
    <xf numFmtId="37" fontId="8" fillId="0" borderId="18" xfId="4" applyNumberFormat="1" applyFont="1" applyBorder="1" applyProtection="1"/>
    <xf numFmtId="37" fontId="8" fillId="0" borderId="29" xfId="4" applyFont="1" applyBorder="1" applyProtection="1"/>
    <xf numFmtId="37" fontId="21" fillId="0" borderId="0" xfId="4" applyFont="1"/>
    <xf numFmtId="37" fontId="8" fillId="0" borderId="33" xfId="4" applyFont="1" applyBorder="1" applyProtection="1"/>
    <xf numFmtId="37" fontId="8" fillId="0" borderId="34" xfId="4" applyFont="1" applyBorder="1" applyProtection="1"/>
    <xf numFmtId="37" fontId="8" fillId="0" borderId="35" xfId="4" applyFont="1" applyBorder="1" applyProtection="1"/>
    <xf numFmtId="37" fontId="21" fillId="13" borderId="0" xfId="4" applyFont="1" applyFill="1"/>
    <xf numFmtId="37" fontId="8" fillId="12" borderId="15" xfId="4" applyFont="1" applyFill="1" applyBorder="1" applyProtection="1"/>
    <xf numFmtId="14" fontId="0" fillId="0" borderId="0" xfId="0" applyNumberFormat="1"/>
    <xf numFmtId="3" fontId="0" fillId="10" borderId="0" xfId="0" applyNumberFormat="1" applyFill="1"/>
    <xf numFmtId="0" fontId="0" fillId="0" borderId="0" xfId="0"/>
    <xf numFmtId="164" fontId="2" fillId="8" borderId="0" xfId="0" quotePrefix="1" applyNumberFormat="1" applyFont="1" applyFill="1" applyBorder="1" applyAlignment="1">
      <alignment horizontal="center"/>
    </xf>
    <xf numFmtId="164" fontId="2" fillId="8" borderId="13" xfId="0" quotePrefix="1" applyNumberFormat="1" applyFont="1" applyFill="1" applyBorder="1" applyAlignment="1">
      <alignment horizontal="right"/>
    </xf>
    <xf numFmtId="164" fontId="2" fillId="8" borderId="19" xfId="0" quotePrefix="1" applyNumberFormat="1" applyFont="1" applyFill="1" applyBorder="1" applyAlignment="1">
      <alignment horizontal="right"/>
    </xf>
    <xf numFmtId="166" fontId="2" fillId="8" borderId="14" xfId="1" applyNumberFormat="1" applyFont="1" applyFill="1" applyBorder="1" applyAlignment="1">
      <alignment horizontal="center"/>
    </xf>
    <xf numFmtId="3" fontId="2" fillId="8" borderId="16" xfId="1" applyNumberFormat="1" applyFont="1" applyFill="1" applyBorder="1" applyAlignment="1">
      <alignment horizontal="center"/>
    </xf>
    <xf numFmtId="0" fontId="26" fillId="13" borderId="42" xfId="6" applyFont="1" applyFill="1" applyBorder="1" applyAlignment="1">
      <alignment horizontal="center" vertical="top"/>
    </xf>
    <xf numFmtId="0" fontId="26" fillId="13" borderId="43" xfId="6" applyFont="1" applyFill="1" applyBorder="1" applyAlignment="1">
      <alignment horizontal="center" vertical="top"/>
    </xf>
    <xf numFmtId="0" fontId="26" fillId="13" borderId="43" xfId="6" applyFont="1" applyFill="1" applyBorder="1" applyAlignment="1">
      <alignment horizontal="left" vertical="top"/>
    </xf>
    <xf numFmtId="0" fontId="26" fillId="13" borderId="44" xfId="6" applyFont="1" applyFill="1" applyBorder="1" applyAlignment="1">
      <alignment horizontal="center" vertical="top"/>
    </xf>
    <xf numFmtId="0" fontId="25" fillId="13" borderId="45" xfId="6" applyFont="1" applyFill="1" applyBorder="1" applyAlignment="1">
      <alignment horizontal="center" vertical="top"/>
    </xf>
    <xf numFmtId="0" fontId="25" fillId="13" borderId="43" xfId="6" applyFont="1" applyFill="1" applyBorder="1" applyAlignment="1">
      <alignment horizontal="center" vertical="top"/>
    </xf>
    <xf numFmtId="0" fontId="25" fillId="13" borderId="46" xfId="6" applyFont="1" applyFill="1" applyBorder="1" applyAlignment="1">
      <alignment horizontal="center" vertical="top"/>
    </xf>
    <xf numFmtId="0" fontId="27" fillId="15" borderId="47" xfId="6" applyFont="1" applyFill="1" applyBorder="1" applyAlignment="1">
      <alignment horizontal="center" vertical="top"/>
    </xf>
    <xf numFmtId="3" fontId="27" fillId="15" borderId="48" xfId="6" applyNumberFormat="1" applyFont="1" applyFill="1" applyBorder="1" applyAlignment="1">
      <alignment horizontal="center" vertical="top"/>
    </xf>
    <xf numFmtId="171" fontId="27" fillId="15" borderId="49" xfId="6" applyNumberFormat="1" applyFont="1" applyFill="1" applyBorder="1" applyAlignment="1">
      <alignment horizontal="center" vertical="top"/>
    </xf>
    <xf numFmtId="172" fontId="27" fillId="15" borderId="49" xfId="6" applyNumberFormat="1" applyFont="1" applyFill="1" applyBorder="1" applyAlignment="1">
      <alignment horizontal="center" vertical="top"/>
    </xf>
    <xf numFmtId="0" fontId="27" fillId="15" borderId="49" xfId="6" applyFont="1" applyFill="1" applyBorder="1" applyAlignment="1">
      <alignment horizontal="center" vertical="top"/>
    </xf>
    <xf numFmtId="173" fontId="28" fillId="13" borderId="50" xfId="5" applyNumberFormat="1" applyFont="1" applyFill="1" applyBorder="1" applyAlignment="1">
      <alignment horizontal="center" vertical="top"/>
    </xf>
    <xf numFmtId="166" fontId="28" fillId="13" borderId="50" xfId="6" applyNumberFormat="1" applyFont="1" applyFill="1" applyBorder="1" applyAlignment="1">
      <alignment horizontal="center" vertical="top"/>
    </xf>
    <xf numFmtId="0" fontId="29" fillId="0" borderId="19" xfId="0" applyFont="1" applyBorder="1"/>
    <xf numFmtId="0" fontId="29" fillId="0" borderId="14" xfId="0" applyFont="1" applyBorder="1"/>
    <xf numFmtId="0" fontId="29" fillId="0" borderId="15" xfId="0" applyFont="1" applyBorder="1"/>
    <xf numFmtId="0" fontId="29" fillId="0" borderId="0" xfId="0" applyFont="1" applyBorder="1"/>
    <xf numFmtId="0" fontId="29" fillId="0" borderId="16" xfId="0" applyFont="1" applyBorder="1"/>
    <xf numFmtId="0" fontId="27" fillId="15" borderId="5" xfId="6" applyFont="1" applyFill="1" applyBorder="1" applyAlignment="1">
      <alignment horizontal="center" vertical="top"/>
    </xf>
    <xf numFmtId="3" fontId="27" fillId="15" borderId="51" xfId="6" applyNumberFormat="1" applyFont="1" applyFill="1" applyBorder="1" applyAlignment="1">
      <alignment horizontal="center" vertical="top"/>
    </xf>
    <xf numFmtId="171" fontId="27" fillId="15" borderId="12" xfId="6" applyNumberFormat="1" applyFont="1" applyFill="1" applyBorder="1" applyAlignment="1">
      <alignment horizontal="center" vertical="top"/>
    </xf>
    <xf numFmtId="172" fontId="27" fillId="15" borderId="12" xfId="6" applyNumberFormat="1" applyFont="1" applyFill="1" applyBorder="1" applyAlignment="1">
      <alignment horizontal="center" vertical="top"/>
    </xf>
    <xf numFmtId="0" fontId="27" fillId="15" borderId="12" xfId="6" applyFont="1" applyFill="1" applyBorder="1" applyAlignment="1">
      <alignment horizontal="center" vertical="top"/>
    </xf>
    <xf numFmtId="0" fontId="27" fillId="15" borderId="52" xfId="6" applyFont="1" applyFill="1" applyBorder="1" applyAlignment="1">
      <alignment horizontal="center" vertical="top"/>
    </xf>
    <xf numFmtId="3" fontId="27" fillId="15" borderId="53" xfId="6" applyNumberFormat="1" applyFont="1" applyFill="1" applyBorder="1" applyAlignment="1">
      <alignment horizontal="center" vertical="top"/>
    </xf>
    <xf numFmtId="171" fontId="27" fillId="15" borderId="54" xfId="6" applyNumberFormat="1" applyFont="1" applyFill="1" applyBorder="1" applyAlignment="1">
      <alignment horizontal="center" vertical="top"/>
    </xf>
    <xf numFmtId="172" fontId="27" fillId="15" borderId="54" xfId="6" applyNumberFormat="1" applyFont="1" applyFill="1" applyBorder="1" applyAlignment="1">
      <alignment horizontal="center" vertical="top"/>
    </xf>
    <xf numFmtId="0" fontId="27" fillId="15" borderId="54" xfId="6" applyFont="1" applyFill="1" applyBorder="1" applyAlignment="1">
      <alignment horizontal="center" vertical="top"/>
    </xf>
    <xf numFmtId="0" fontId="27" fillId="15" borderId="55" xfId="6" applyFont="1" applyFill="1" applyBorder="1" applyAlignment="1">
      <alignment horizontal="center" vertical="top"/>
    </xf>
    <xf numFmtId="173" fontId="30" fillId="13" borderId="50" xfId="5" applyNumberFormat="1" applyFont="1" applyFill="1" applyBorder="1" applyAlignment="1">
      <alignment horizontal="center" vertical="top"/>
    </xf>
    <xf numFmtId="166" fontId="30" fillId="13" borderId="50" xfId="6" applyNumberFormat="1" applyFont="1" applyFill="1" applyBorder="1" applyAlignment="1">
      <alignment horizontal="center" vertical="top"/>
    </xf>
    <xf numFmtId="166" fontId="30" fillId="13" borderId="56" xfId="5" applyNumberFormat="1" applyFont="1" applyFill="1" applyBorder="1" applyAlignment="1">
      <alignment horizontal="center" vertical="top"/>
    </xf>
    <xf numFmtId="3" fontId="27" fillId="16" borderId="48" xfId="6" applyNumberFormat="1" applyFont="1" applyFill="1" applyBorder="1" applyAlignment="1">
      <alignment horizontal="center" vertical="top"/>
    </xf>
    <xf numFmtId="171" fontId="27" fillId="16" borderId="49" xfId="6" applyNumberFormat="1" applyFont="1" applyFill="1" applyBorder="1" applyAlignment="1">
      <alignment horizontal="center" vertical="top"/>
    </xf>
    <xf numFmtId="172" fontId="27" fillId="16" borderId="49" xfId="6" applyNumberFormat="1" applyFont="1" applyFill="1" applyBorder="1" applyAlignment="1">
      <alignment horizontal="center" vertical="top"/>
    </xf>
    <xf numFmtId="0" fontId="27" fillId="16" borderId="49" xfId="6" applyFont="1" applyFill="1" applyBorder="1" applyAlignment="1">
      <alignment horizontal="center" vertical="top"/>
    </xf>
    <xf numFmtId="0" fontId="27" fillId="16" borderId="47" xfId="6" applyFont="1" applyFill="1" applyBorder="1" applyAlignment="1">
      <alignment horizontal="center" vertical="top"/>
    </xf>
    <xf numFmtId="173" fontId="31" fillId="0" borderId="0" xfId="5" applyNumberFormat="1" applyFont="1" applyBorder="1"/>
    <xf numFmtId="166" fontId="31" fillId="0" borderId="0" xfId="0" applyNumberFormat="1" applyFont="1" applyBorder="1"/>
    <xf numFmtId="166" fontId="31" fillId="0" borderId="16" xfId="0" applyNumberFormat="1" applyFont="1" applyBorder="1"/>
    <xf numFmtId="3" fontId="27" fillId="16" borderId="51" xfId="6" applyNumberFormat="1" applyFont="1" applyFill="1" applyBorder="1" applyAlignment="1">
      <alignment horizontal="center" vertical="top"/>
    </xf>
    <xf numFmtId="171" fontId="27" fillId="16" borderId="12" xfId="6" applyNumberFormat="1" applyFont="1" applyFill="1" applyBorder="1" applyAlignment="1">
      <alignment horizontal="center" vertical="top"/>
    </xf>
    <xf numFmtId="172" fontId="27" fillId="16" borderId="12" xfId="6" applyNumberFormat="1" applyFont="1" applyFill="1" applyBorder="1" applyAlignment="1">
      <alignment horizontal="center" vertical="top"/>
    </xf>
    <xf numFmtId="0" fontId="27" fillId="16" borderId="12" xfId="6" applyFont="1" applyFill="1" applyBorder="1" applyAlignment="1">
      <alignment horizontal="center" vertical="top"/>
    </xf>
    <xf numFmtId="0" fontId="27" fillId="16" borderId="52" xfId="6" applyFont="1" applyFill="1" applyBorder="1" applyAlignment="1">
      <alignment horizontal="center" vertical="top"/>
    </xf>
    <xf numFmtId="3" fontId="27" fillId="16" borderId="53" xfId="6" applyNumberFormat="1" applyFont="1" applyFill="1" applyBorder="1" applyAlignment="1">
      <alignment horizontal="center" vertical="top"/>
    </xf>
    <xf numFmtId="171" fontId="27" fillId="16" borderId="54" xfId="6" applyNumberFormat="1" applyFont="1" applyFill="1" applyBorder="1" applyAlignment="1">
      <alignment horizontal="center" vertical="top"/>
    </xf>
    <xf numFmtId="172" fontId="27" fillId="16" borderId="54" xfId="6" applyNumberFormat="1" applyFont="1" applyFill="1" applyBorder="1" applyAlignment="1">
      <alignment horizontal="center" vertical="top"/>
    </xf>
    <xf numFmtId="0" fontId="27" fillId="16" borderId="54" xfId="6" applyFont="1" applyFill="1" applyBorder="1" applyAlignment="1">
      <alignment horizontal="center" vertical="top"/>
    </xf>
    <xf numFmtId="0" fontId="27" fillId="16" borderId="55" xfId="6" applyFont="1" applyFill="1" applyBorder="1" applyAlignment="1">
      <alignment horizontal="center" vertical="top"/>
    </xf>
    <xf numFmtId="173" fontId="30" fillId="13" borderId="43" xfId="5" applyNumberFormat="1" applyFont="1" applyFill="1" applyBorder="1" applyAlignment="1">
      <alignment horizontal="center" vertical="top"/>
    </xf>
    <xf numFmtId="0" fontId="26" fillId="13" borderId="57" xfId="6" applyFont="1" applyFill="1" applyBorder="1" applyAlignment="1">
      <alignment horizontal="center" vertical="top"/>
    </xf>
    <xf numFmtId="0" fontId="26" fillId="13" borderId="58" xfId="6" applyFont="1" applyFill="1" applyBorder="1" applyAlignment="1">
      <alignment horizontal="center" vertical="top"/>
    </xf>
    <xf numFmtId="0" fontId="26" fillId="13" borderId="58" xfId="6" applyFont="1" applyFill="1" applyBorder="1" applyAlignment="1">
      <alignment horizontal="left" vertical="top"/>
    </xf>
    <xf numFmtId="0" fontId="26" fillId="13" borderId="59" xfId="6" applyFont="1" applyFill="1" applyBorder="1" applyAlignment="1">
      <alignment horizontal="center" vertical="top"/>
    </xf>
    <xf numFmtId="173" fontId="30" fillId="4" borderId="60" xfId="5" applyNumberFormat="1" applyFont="1" applyFill="1" applyBorder="1" applyAlignment="1">
      <alignment horizontal="center" vertical="top"/>
    </xf>
    <xf numFmtId="0" fontId="29" fillId="0" borderId="0" xfId="0" applyFont="1"/>
    <xf numFmtId="0" fontId="27" fillId="15" borderId="61" xfId="6" applyFont="1" applyFill="1" applyBorder="1" applyAlignment="1">
      <alignment horizontal="center" vertical="top"/>
    </xf>
    <xf numFmtId="0" fontId="17" fillId="15" borderId="62" xfId="6" applyFont="1" applyFill="1" applyBorder="1" applyAlignment="1">
      <alignment horizontal="center" vertical="top"/>
    </xf>
    <xf numFmtId="0" fontId="32" fillId="13" borderId="50" xfId="6" applyFont="1" applyFill="1" applyBorder="1" applyAlignment="1">
      <alignment horizontal="center" vertical="top"/>
    </xf>
    <xf numFmtId="166" fontId="30" fillId="13" borderId="56" xfId="6" applyNumberFormat="1" applyFont="1" applyFill="1" applyBorder="1" applyAlignment="1">
      <alignment horizontal="center" vertical="top"/>
    </xf>
    <xf numFmtId="0" fontId="0" fillId="17" borderId="0" xfId="0" applyFill="1"/>
    <xf numFmtId="173" fontId="30" fillId="10" borderId="50" xfId="5" applyNumberFormat="1" applyFont="1" applyFill="1" applyBorder="1" applyAlignment="1">
      <alignment horizontal="center" vertical="top"/>
    </xf>
    <xf numFmtId="166" fontId="30" fillId="10" borderId="50" xfId="6" applyNumberFormat="1" applyFont="1" applyFill="1" applyBorder="1" applyAlignment="1">
      <alignment horizontal="center" vertical="top"/>
    </xf>
    <xf numFmtId="173" fontId="30" fillId="4" borderId="43" xfId="5" applyNumberFormat="1" applyFont="1" applyFill="1" applyBorder="1" applyAlignment="1">
      <alignment horizontal="center" vertical="top"/>
    </xf>
    <xf numFmtId="173" fontId="28" fillId="4" borderId="50" xfId="5" applyNumberFormat="1" applyFont="1" applyFill="1" applyBorder="1" applyAlignment="1">
      <alignment horizontal="center" vertical="top"/>
    </xf>
    <xf numFmtId="173" fontId="30" fillId="18" borderId="50" xfId="5" applyNumberFormat="1" applyFont="1" applyFill="1" applyBorder="1" applyAlignment="1">
      <alignment horizontal="center" vertical="top"/>
    </xf>
    <xf numFmtId="166" fontId="30" fillId="18" borderId="50" xfId="6" applyNumberFormat="1" applyFont="1" applyFill="1" applyBorder="1" applyAlignment="1">
      <alignment horizontal="center" vertical="top"/>
    </xf>
    <xf numFmtId="173" fontId="30" fillId="18" borderId="43" xfId="5" applyNumberFormat="1" applyFont="1" applyFill="1" applyBorder="1" applyAlignment="1">
      <alignment horizontal="center" vertical="top"/>
    </xf>
    <xf numFmtId="166" fontId="30" fillId="18" borderId="56" xfId="6" applyNumberFormat="1" applyFont="1" applyFill="1" applyBorder="1" applyAlignment="1">
      <alignment horizontal="center" vertical="top"/>
    </xf>
    <xf numFmtId="173" fontId="30" fillId="13" borderId="60" xfId="5" applyNumberFormat="1" applyFont="1" applyFill="1" applyBorder="1" applyAlignment="1">
      <alignment horizontal="center" vertical="top"/>
    </xf>
    <xf numFmtId="2" fontId="9" fillId="0" borderId="0" xfId="0" applyNumberFormat="1" applyFont="1" applyAlignment="1">
      <alignment horizontal="center"/>
    </xf>
    <xf numFmtId="44" fontId="0" fillId="0" borderId="0" xfId="0" applyNumberFormat="1"/>
    <xf numFmtId="0" fontId="33" fillId="8" borderId="64" xfId="0" applyFont="1" applyFill="1" applyBorder="1" applyAlignment="1">
      <alignment horizontal="center"/>
    </xf>
    <xf numFmtId="0" fontId="34" fillId="8" borderId="64" xfId="0" applyFont="1" applyFill="1" applyBorder="1" applyAlignment="1">
      <alignment horizontal="center"/>
    </xf>
    <xf numFmtId="0" fontId="33" fillId="8" borderId="65" xfId="0" applyFont="1" applyFill="1" applyBorder="1" applyAlignment="1">
      <alignment horizontal="center"/>
    </xf>
    <xf numFmtId="0" fontId="34" fillId="8" borderId="65" xfId="0" applyFont="1" applyFill="1" applyBorder="1" applyAlignment="1">
      <alignment horizontal="center"/>
    </xf>
    <xf numFmtId="0" fontId="0" fillId="0" borderId="0" xfId="0" applyAlignment="1">
      <alignment horizontal="center"/>
    </xf>
    <xf numFmtId="173" fontId="0" fillId="0" borderId="0" xfId="0" applyNumberFormat="1"/>
    <xf numFmtId="0" fontId="0" fillId="0" borderId="0" xfId="0" applyFill="1" applyAlignment="1">
      <alignment horizontal="center"/>
    </xf>
    <xf numFmtId="44" fontId="0" fillId="0" borderId="0" xfId="0" applyNumberFormat="1" applyFill="1"/>
    <xf numFmtId="0" fontId="0" fillId="0" borderId="0" xfId="0" applyFill="1"/>
    <xf numFmtId="166" fontId="0" fillId="0" borderId="0" xfId="1" applyNumberFormat="1" applyFont="1"/>
    <xf numFmtId="166" fontId="0" fillId="0" borderId="0" xfId="1" applyNumberFormat="1" applyFont="1" applyFill="1"/>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166" fontId="3" fillId="0" borderId="0" xfId="1" applyNumberFormat="1" applyFont="1"/>
    <xf numFmtId="44" fontId="3" fillId="0" borderId="0" xfId="0" applyNumberFormat="1" applyFont="1" applyFill="1"/>
    <xf numFmtId="0" fontId="3" fillId="0" borderId="0" xfId="0" applyFont="1" applyAlignment="1">
      <alignment horizontal="center"/>
    </xf>
    <xf numFmtId="0" fontId="0" fillId="0" borderId="0" xfId="0"/>
    <xf numFmtId="0" fontId="2" fillId="0" borderId="0" xfId="0" applyFont="1" applyAlignment="1">
      <alignment horizontal="center"/>
    </xf>
    <xf numFmtId="3" fontId="3" fillId="0" borderId="0" xfId="0" applyNumberFormat="1" applyFont="1"/>
    <xf numFmtId="173" fontId="28" fillId="13" borderId="50" xfId="5" applyNumberFormat="1" applyFont="1" applyFill="1" applyBorder="1" applyAlignment="1">
      <alignment horizontal="center" vertical="top"/>
    </xf>
    <xf numFmtId="166" fontId="28" fillId="13" borderId="50" xfId="6" applyNumberFormat="1" applyFont="1" applyFill="1" applyBorder="1" applyAlignment="1">
      <alignment horizontal="center" vertical="top"/>
    </xf>
    <xf numFmtId="173" fontId="30" fillId="13" borderId="50" xfId="5" applyNumberFormat="1" applyFont="1" applyFill="1" applyBorder="1" applyAlignment="1">
      <alignment horizontal="center" vertical="top"/>
    </xf>
    <xf numFmtId="166" fontId="30" fillId="13" borderId="50" xfId="6" applyNumberFormat="1" applyFont="1" applyFill="1" applyBorder="1" applyAlignment="1">
      <alignment horizontal="center" vertical="top"/>
    </xf>
    <xf numFmtId="173" fontId="31" fillId="0" borderId="0" xfId="5" applyNumberFormat="1" applyFont="1" applyBorder="1"/>
    <xf numFmtId="166" fontId="31" fillId="0" borderId="0" xfId="0" applyNumberFormat="1" applyFont="1" applyBorder="1"/>
    <xf numFmtId="0" fontId="3" fillId="0" borderId="0" xfId="0" applyFont="1" applyAlignment="1">
      <alignment horizontal="center"/>
    </xf>
    <xf numFmtId="0" fontId="0" fillId="0" borderId="0" xfId="0" applyFont="1" applyAlignment="1">
      <alignment horizontal="center"/>
    </xf>
    <xf numFmtId="3" fontId="0" fillId="0" borderId="0" xfId="0" applyNumberFormat="1" applyFont="1"/>
    <xf numFmtId="166" fontId="1" fillId="0" borderId="0" xfId="1" applyNumberFormat="1" applyFont="1"/>
    <xf numFmtId="44" fontId="0" fillId="0" borderId="0" xfId="0" applyNumberFormat="1" applyFont="1"/>
    <xf numFmtId="0" fontId="35" fillId="0" borderId="0" xfId="0" applyFont="1"/>
    <xf numFmtId="0" fontId="9" fillId="0" borderId="0" xfId="0" applyFont="1" applyAlignment="1">
      <alignment horizontal="center"/>
    </xf>
    <xf numFmtId="169" fontId="16" fillId="0" borderId="0" xfId="0" applyNumberFormat="1" applyFont="1" applyBorder="1" applyAlignment="1" applyProtection="1">
      <alignment horizontal="center"/>
    </xf>
    <xf numFmtId="166" fontId="0" fillId="10" borderId="0" xfId="0" applyNumberFormat="1" applyFill="1"/>
    <xf numFmtId="3" fontId="2" fillId="0" borderId="0" xfId="0" quotePrefix="1" applyNumberFormat="1" applyFont="1" applyAlignment="1">
      <alignment horizontal="center"/>
    </xf>
    <xf numFmtId="0" fontId="36" fillId="0" borderId="0" xfId="0" applyFont="1"/>
    <xf numFmtId="168" fontId="1" fillId="0" borderId="0" xfId="1" applyNumberFormat="1" applyFont="1"/>
    <xf numFmtId="168" fontId="0" fillId="0" borderId="0" xfId="1" applyNumberFormat="1" applyFont="1"/>
    <xf numFmtId="168" fontId="3" fillId="0" borderId="0" xfId="1" applyNumberFormat="1" applyFont="1"/>
    <xf numFmtId="0" fontId="37" fillId="0" borderId="0" xfId="7"/>
    <xf numFmtId="0" fontId="12" fillId="0" borderId="0" xfId="7" applyFont="1"/>
    <xf numFmtId="0" fontId="17" fillId="0" borderId="0" xfId="7" applyFont="1"/>
    <xf numFmtId="167" fontId="17" fillId="0" borderId="0" xfId="7" applyNumberFormat="1" applyFont="1" applyAlignment="1">
      <alignment horizontal="center"/>
    </xf>
    <xf numFmtId="0" fontId="37" fillId="0" borderId="37" xfId="7" applyBorder="1"/>
    <xf numFmtId="0" fontId="37" fillId="0" borderId="19" xfId="7" applyBorder="1" applyAlignment="1">
      <alignment horizontal="center"/>
    </xf>
    <xf numFmtId="0" fontId="37" fillId="0" borderId="66" xfId="7" applyBorder="1" applyAlignment="1">
      <alignment horizontal="center"/>
    </xf>
    <xf numFmtId="0" fontId="37" fillId="0" borderId="67" xfId="7" applyBorder="1" applyAlignment="1">
      <alignment horizontal="center"/>
    </xf>
    <xf numFmtId="0" fontId="37" fillId="0" borderId="68" xfId="7" applyBorder="1"/>
    <xf numFmtId="0" fontId="37" fillId="0" borderId="20" xfId="7" applyBorder="1" applyAlignment="1">
      <alignment horizontal="center"/>
    </xf>
    <xf numFmtId="0" fontId="37" fillId="0" borderId="69" xfId="7" applyBorder="1" applyAlignment="1">
      <alignment horizontal="center"/>
    </xf>
    <xf numFmtId="0" fontId="37" fillId="0" borderId="70" xfId="7" applyBorder="1" applyAlignment="1">
      <alignment horizontal="center"/>
    </xf>
    <xf numFmtId="17" fontId="37" fillId="0" borderId="10" xfId="7" applyNumberFormat="1" applyBorder="1" applyAlignment="1">
      <alignment horizontal="center"/>
    </xf>
    <xf numFmtId="37" fontId="8" fillId="19" borderId="0" xfId="7" applyNumberFormat="1" applyFont="1" applyFill="1"/>
    <xf numFmtId="173" fontId="8" fillId="0" borderId="0" xfId="8" applyNumberFormat="1" applyBorder="1"/>
    <xf numFmtId="173" fontId="8" fillId="19" borderId="0" xfId="8" applyNumberFormat="1" applyFill="1" applyBorder="1"/>
    <xf numFmtId="17" fontId="37" fillId="0" borderId="0" xfId="7" applyNumberFormat="1" applyAlignment="1">
      <alignment horizontal="center"/>
    </xf>
    <xf numFmtId="0" fontId="17" fillId="20" borderId="12" xfId="7" applyFont="1" applyFill="1" applyBorder="1"/>
    <xf numFmtId="37" fontId="8" fillId="20" borderId="0" xfId="7" applyNumberFormat="1" applyFont="1" applyFill="1"/>
    <xf numFmtId="173" fontId="8" fillId="20" borderId="0" xfId="8" applyNumberFormat="1" applyFill="1" applyBorder="1"/>
    <xf numFmtId="174" fontId="37" fillId="20" borderId="0" xfId="7" applyNumberFormat="1" applyFill="1"/>
    <xf numFmtId="175" fontId="37" fillId="20" borderId="0" xfId="7" applyNumberFormat="1" applyFill="1"/>
    <xf numFmtId="176" fontId="37" fillId="20" borderId="7" xfId="7" applyNumberFormat="1" applyFill="1" applyBorder="1"/>
    <xf numFmtId="43" fontId="8" fillId="20" borderId="0" xfId="8" applyFont="1" applyFill="1" applyBorder="1"/>
    <xf numFmtId="43" fontId="8" fillId="20" borderId="0" xfId="8" applyFill="1" applyBorder="1"/>
    <xf numFmtId="43" fontId="37" fillId="20" borderId="0" xfId="7" applyNumberFormat="1" applyFill="1"/>
    <xf numFmtId="0" fontId="37" fillId="0" borderId="12" xfId="7" applyBorder="1"/>
    <xf numFmtId="173" fontId="8" fillId="19" borderId="61" xfId="8" applyNumberFormat="1" applyFill="1" applyBorder="1"/>
    <xf numFmtId="173" fontId="8" fillId="0" borderId="61" xfId="8" applyNumberFormat="1" applyFont="1" applyBorder="1"/>
    <xf numFmtId="174" fontId="37" fillId="0" borderId="61" xfId="7" applyNumberFormat="1" applyBorder="1" applyAlignment="1">
      <alignment horizontal="center"/>
    </xf>
    <xf numFmtId="0" fontId="37" fillId="0" borderId="61" xfId="7" applyBorder="1"/>
    <xf numFmtId="0" fontId="37" fillId="19" borderId="12" xfId="7" applyFill="1" applyBorder="1"/>
    <xf numFmtId="43" fontId="8" fillId="0" borderId="61" xfId="8" applyBorder="1"/>
    <xf numFmtId="43" fontId="8" fillId="0" borderId="12" xfId="8" applyBorder="1"/>
    <xf numFmtId="39" fontId="37" fillId="0" borderId="61" xfId="7" applyNumberFormat="1" applyBorder="1"/>
    <xf numFmtId="43" fontId="37" fillId="0" borderId="61" xfId="7" applyNumberFormat="1" applyBorder="1"/>
    <xf numFmtId="17" fontId="37" fillId="0" borderId="12" xfId="7" applyNumberFormat="1" applyBorder="1" applyAlignment="1">
      <alignment horizontal="center"/>
    </xf>
    <xf numFmtId="37" fontId="8" fillId="19" borderId="12" xfId="7" applyNumberFormat="1" applyFont="1" applyFill="1" applyBorder="1"/>
    <xf numFmtId="173" fontId="8" fillId="0" borderId="12" xfId="8" applyNumberFormat="1" applyBorder="1"/>
    <xf numFmtId="173" fontId="8" fillId="19" borderId="12" xfId="8" applyNumberFormat="1" applyFill="1" applyBorder="1"/>
    <xf numFmtId="174" fontId="38" fillId="19" borderId="10" xfId="7" applyNumberFormat="1" applyFont="1" applyFill="1" applyBorder="1"/>
    <xf numFmtId="0" fontId="37" fillId="21" borderId="12" xfId="7" applyFill="1" applyBorder="1"/>
    <xf numFmtId="39" fontId="37" fillId="19" borderId="12" xfId="7" applyNumberFormat="1" applyFill="1" applyBorder="1"/>
    <xf numFmtId="43" fontId="8" fillId="19" borderId="12" xfId="8" applyFont="1" applyFill="1" applyBorder="1"/>
    <xf numFmtId="43" fontId="8" fillId="19" borderId="12" xfId="8" applyFill="1" applyBorder="1"/>
    <xf numFmtId="43" fontId="37" fillId="19" borderId="12" xfId="7" applyNumberFormat="1" applyFill="1" applyBorder="1"/>
    <xf numFmtId="173" fontId="8" fillId="0" borderId="10" xfId="8" applyNumberFormat="1" applyBorder="1"/>
    <xf numFmtId="173" fontId="8" fillId="19" borderId="10" xfId="8" applyNumberFormat="1" applyFill="1" applyBorder="1"/>
    <xf numFmtId="39" fontId="37" fillId="19" borderId="10" xfId="7" applyNumberFormat="1" applyFill="1" applyBorder="1"/>
    <xf numFmtId="4" fontId="37" fillId="0" borderId="12" xfId="7" applyNumberFormat="1" applyBorder="1"/>
    <xf numFmtId="43" fontId="8" fillId="19" borderId="10" xfId="8" applyFill="1" applyBorder="1"/>
    <xf numFmtId="43" fontId="37" fillId="19" borderId="10" xfId="7" applyNumberFormat="1" applyFill="1" applyBorder="1"/>
    <xf numFmtId="17" fontId="37" fillId="0" borderId="54" xfId="7" applyNumberFormat="1" applyBorder="1" applyAlignment="1">
      <alignment horizontal="center"/>
    </xf>
    <xf numFmtId="37" fontId="8" fillId="19" borderId="54" xfId="7" applyNumberFormat="1" applyFont="1" applyFill="1" applyBorder="1"/>
    <xf numFmtId="173" fontId="8" fillId="0" borderId="54" xfId="8" applyNumberFormat="1" applyBorder="1"/>
    <xf numFmtId="173" fontId="8" fillId="19" borderId="54" xfId="8" applyNumberFormat="1" applyFill="1" applyBorder="1"/>
    <xf numFmtId="174" fontId="38" fillId="19" borderId="54" xfId="7" applyNumberFormat="1" applyFont="1" applyFill="1" applyBorder="1"/>
    <xf numFmtId="0" fontId="37" fillId="21" borderId="54" xfId="7" applyFill="1" applyBorder="1"/>
    <xf numFmtId="39" fontId="37" fillId="19" borderId="54" xfId="7" applyNumberFormat="1" applyFill="1" applyBorder="1"/>
    <xf numFmtId="4" fontId="37" fillId="0" borderId="54" xfId="7" applyNumberFormat="1" applyBorder="1"/>
    <xf numFmtId="43" fontId="8" fillId="19" borderId="54" xfId="8" applyFill="1" applyBorder="1"/>
    <xf numFmtId="4" fontId="17" fillId="0" borderId="54" xfId="7" applyNumberFormat="1" applyFont="1" applyBorder="1"/>
    <xf numFmtId="43" fontId="37" fillId="19" borderId="54" xfId="7" applyNumberFormat="1" applyFill="1" applyBorder="1"/>
    <xf numFmtId="37" fontId="8" fillId="19" borderId="10" xfId="7" applyNumberFormat="1" applyFont="1" applyFill="1" applyBorder="1"/>
    <xf numFmtId="177" fontId="8" fillId="19" borderId="10" xfId="7" applyNumberFormat="1" applyFont="1" applyFill="1" applyBorder="1"/>
    <xf numFmtId="0" fontId="37" fillId="21" borderId="10" xfId="7" applyFill="1" applyBorder="1"/>
    <xf numFmtId="4" fontId="37" fillId="0" borderId="10" xfId="7" applyNumberFormat="1" applyBorder="1"/>
    <xf numFmtId="0" fontId="37" fillId="20" borderId="0" xfId="7" applyFill="1"/>
    <xf numFmtId="4" fontId="8" fillId="0" borderId="10" xfId="7" applyNumberFormat="1" applyFont="1" applyBorder="1"/>
    <xf numFmtId="43" fontId="8" fillId="19" borderId="10" xfId="8" applyFont="1" applyFill="1" applyBorder="1"/>
    <xf numFmtId="17" fontId="37" fillId="0" borderId="49" xfId="7" applyNumberFormat="1" applyBorder="1" applyAlignment="1">
      <alignment horizontal="center"/>
    </xf>
    <xf numFmtId="37" fontId="8" fillId="19" borderId="49" xfId="7" applyNumberFormat="1" applyFont="1" applyFill="1" applyBorder="1"/>
    <xf numFmtId="173" fontId="8" fillId="0" borderId="49" xfId="8" applyNumberFormat="1" applyBorder="1"/>
    <xf numFmtId="173" fontId="8" fillId="19" borderId="49" xfId="8" applyNumberFormat="1" applyFill="1" applyBorder="1"/>
    <xf numFmtId="0" fontId="37" fillId="21" borderId="49" xfId="7" applyFill="1" applyBorder="1"/>
    <xf numFmtId="39" fontId="37" fillId="19" borderId="49" xfId="7" applyNumberFormat="1" applyFill="1" applyBorder="1"/>
    <xf numFmtId="4" fontId="37" fillId="0" borderId="49" xfId="7" applyNumberFormat="1" applyBorder="1"/>
    <xf numFmtId="43" fontId="8" fillId="19" borderId="49" xfId="8" applyFill="1" applyBorder="1"/>
    <xf numFmtId="43" fontId="37" fillId="19" borderId="49" xfId="7" applyNumberFormat="1" applyFill="1" applyBorder="1"/>
    <xf numFmtId="39" fontId="37" fillId="0" borderId="10" xfId="7" applyNumberFormat="1" applyBorder="1"/>
    <xf numFmtId="0" fontId="8" fillId="0" borderId="71" xfId="7" applyFont="1" applyBorder="1"/>
    <xf numFmtId="0" fontId="37" fillId="0" borderId="72" xfId="7" applyBorder="1"/>
    <xf numFmtId="177" fontId="8" fillId="19" borderId="54" xfId="7" applyNumberFormat="1" applyFont="1" applyFill="1" applyBorder="1"/>
    <xf numFmtId="43" fontId="8" fillId="19" borderId="54" xfId="8" applyFont="1" applyFill="1" applyBorder="1"/>
    <xf numFmtId="0" fontId="37" fillId="0" borderId="20" xfId="7" applyBorder="1"/>
    <xf numFmtId="177" fontId="39" fillId="19" borderId="10" xfId="7" applyNumberFormat="1" applyFont="1" applyFill="1" applyBorder="1"/>
    <xf numFmtId="177" fontId="39" fillId="19" borderId="68" xfId="7" applyNumberFormat="1" applyFont="1" applyFill="1" applyBorder="1"/>
    <xf numFmtId="4" fontId="37" fillId="0" borderId="0" xfId="7" applyNumberFormat="1"/>
    <xf numFmtId="177" fontId="40" fillId="19" borderId="10" xfId="7" applyNumberFormat="1" applyFont="1" applyFill="1" applyBorder="1"/>
    <xf numFmtId="43" fontId="37" fillId="0" borderId="0" xfId="7" applyNumberFormat="1"/>
    <xf numFmtId="177" fontId="40" fillId="19" borderId="54" xfId="7" applyNumberFormat="1" applyFont="1" applyFill="1" applyBorder="1"/>
    <xf numFmtId="17" fontId="37" fillId="0" borderId="48" xfId="7" applyNumberFormat="1" applyBorder="1" applyAlignment="1">
      <alignment horizontal="center"/>
    </xf>
    <xf numFmtId="177" fontId="40" fillId="19" borderId="49" xfId="7" applyNumberFormat="1" applyFont="1" applyFill="1" applyBorder="1"/>
    <xf numFmtId="43" fontId="8" fillId="19" borderId="49" xfId="8" applyFont="1" applyFill="1" applyBorder="1"/>
    <xf numFmtId="43" fontId="37" fillId="19" borderId="47" xfId="7" applyNumberFormat="1" applyFill="1" applyBorder="1"/>
    <xf numFmtId="17" fontId="37" fillId="0" borderId="73" xfId="7" applyNumberFormat="1" applyBorder="1" applyAlignment="1">
      <alignment horizontal="center"/>
    </xf>
    <xf numFmtId="43" fontId="37" fillId="19" borderId="74" xfId="7" applyNumberFormat="1" applyFill="1" applyBorder="1"/>
    <xf numFmtId="17" fontId="37" fillId="0" borderId="53" xfId="7" applyNumberFormat="1" applyBorder="1" applyAlignment="1">
      <alignment horizontal="center"/>
    </xf>
    <xf numFmtId="43" fontId="37" fillId="19" borderId="55" xfId="7" applyNumberFormat="1" applyFill="1" applyBorder="1"/>
    <xf numFmtId="37" fontId="8" fillId="0" borderId="0" xfId="7" applyNumberFormat="1" applyFont="1"/>
    <xf numFmtId="173" fontId="8" fillId="0" borderId="0" xfId="8" applyNumberFormat="1" applyFill="1" applyBorder="1"/>
    <xf numFmtId="177" fontId="40" fillId="0" borderId="0" xfId="7" applyNumberFormat="1" applyFont="1"/>
    <xf numFmtId="39" fontId="37" fillId="0" borderId="0" xfId="7" applyNumberFormat="1"/>
    <xf numFmtId="43" fontId="8" fillId="0" borderId="0" xfId="8" applyFont="1" applyFill="1" applyBorder="1"/>
    <xf numFmtId="43" fontId="8" fillId="0" borderId="0" xfId="8" applyFill="1" applyBorder="1"/>
    <xf numFmtId="0" fontId="8" fillId="0" borderId="0" xfId="7" applyFont="1"/>
    <xf numFmtId="177" fontId="40" fillId="19" borderId="12" xfId="7" applyNumberFormat="1" applyFont="1" applyFill="1" applyBorder="1"/>
    <xf numFmtId="37" fontId="8" fillId="0" borderId="12" xfId="7" applyNumberFormat="1" applyFont="1" applyBorder="1"/>
    <xf numFmtId="37" fontId="8" fillId="0" borderId="54" xfId="7" applyNumberFormat="1" applyFont="1" applyBorder="1"/>
    <xf numFmtId="173" fontId="8" fillId="0" borderId="54" xfId="8" applyNumberFormat="1" applyFill="1" applyBorder="1"/>
    <xf numFmtId="177" fontId="40" fillId="0" borderId="54" xfId="7" applyNumberFormat="1" applyFont="1" applyBorder="1"/>
    <xf numFmtId="39" fontId="37" fillId="0" borderId="54" xfId="7" applyNumberFormat="1" applyBorder="1"/>
    <xf numFmtId="43" fontId="8" fillId="0" borderId="54" xfId="8" applyFont="1" applyFill="1" applyBorder="1"/>
    <xf numFmtId="43" fontId="8" fillId="0" borderId="54" xfId="8" applyFill="1" applyBorder="1"/>
    <xf numFmtId="43" fontId="37" fillId="0" borderId="54" xfId="7" applyNumberFormat="1" applyBorder="1"/>
    <xf numFmtId="43" fontId="37" fillId="0" borderId="55" xfId="7" applyNumberFormat="1" applyBorder="1"/>
    <xf numFmtId="37" fontId="8" fillId="0" borderId="49" xfId="7" applyNumberFormat="1" applyFont="1" applyBorder="1"/>
    <xf numFmtId="178" fontId="37" fillId="0" borderId="54" xfId="7" applyNumberFormat="1" applyBorder="1"/>
    <xf numFmtId="17" fontId="37" fillId="22" borderId="0" xfId="7" applyNumberFormat="1" applyFill="1" applyAlignment="1">
      <alignment horizontal="center"/>
    </xf>
    <xf numFmtId="37" fontId="8" fillId="22" borderId="0" xfId="7" applyNumberFormat="1" applyFont="1" applyFill="1"/>
    <xf numFmtId="173" fontId="8" fillId="22" borderId="0" xfId="8" applyNumberFormat="1" applyFill="1" applyBorder="1"/>
    <xf numFmtId="177" fontId="40" fillId="22" borderId="0" xfId="7" applyNumberFormat="1" applyFont="1" applyFill="1"/>
    <xf numFmtId="0" fontId="37" fillId="22" borderId="0" xfId="7" applyFill="1"/>
    <xf numFmtId="178" fontId="37" fillId="22" borderId="0" xfId="7" applyNumberFormat="1" applyFill="1"/>
    <xf numFmtId="43" fontId="8" fillId="22" borderId="0" xfId="8" applyFont="1" applyFill="1" applyBorder="1"/>
    <xf numFmtId="43" fontId="8" fillId="22" borderId="0" xfId="8" applyFill="1" applyBorder="1"/>
    <xf numFmtId="43" fontId="37" fillId="22" borderId="0" xfId="7" applyNumberFormat="1" applyFill="1"/>
    <xf numFmtId="4" fontId="37" fillId="22" borderId="0" xfId="7" applyNumberFormat="1" applyFill="1"/>
    <xf numFmtId="178" fontId="37" fillId="19" borderId="49" xfId="7" applyNumberFormat="1" applyFill="1" applyBorder="1"/>
    <xf numFmtId="178" fontId="37" fillId="19" borderId="10" xfId="7" applyNumberFormat="1" applyFill="1" applyBorder="1"/>
    <xf numFmtId="43" fontId="37" fillId="22" borderId="54" xfId="7" applyNumberFormat="1" applyFill="1" applyBorder="1"/>
    <xf numFmtId="177" fontId="40" fillId="19" borderId="0" xfId="7" applyNumberFormat="1" applyFont="1" applyFill="1"/>
    <xf numFmtId="39" fontId="37" fillId="19" borderId="0" xfId="7" applyNumberFormat="1" applyFill="1"/>
    <xf numFmtId="43" fontId="8" fillId="19" borderId="0" xfId="8" applyFont="1" applyFill="1" applyBorder="1"/>
    <xf numFmtId="43" fontId="8" fillId="19" borderId="0" xfId="8" applyFill="1" applyBorder="1"/>
    <xf numFmtId="43" fontId="37" fillId="19" borderId="0" xfId="7" applyNumberFormat="1" applyFill="1"/>
    <xf numFmtId="178" fontId="37" fillId="0" borderId="0" xfId="7" applyNumberFormat="1"/>
    <xf numFmtId="2" fontId="37" fillId="21" borderId="49" xfId="7" applyNumberFormat="1" applyFill="1" applyBorder="1"/>
    <xf numFmtId="2" fontId="37" fillId="21" borderId="12" xfId="7" applyNumberFormat="1" applyFill="1" applyBorder="1"/>
    <xf numFmtId="2" fontId="37" fillId="21" borderId="54" xfId="7" applyNumberFormat="1" applyFill="1" applyBorder="1"/>
    <xf numFmtId="37" fontId="37" fillId="0" borderId="0" xfId="7" applyNumberFormat="1"/>
    <xf numFmtId="166" fontId="37" fillId="0" borderId="0" xfId="7" applyNumberFormat="1"/>
    <xf numFmtId="0" fontId="3" fillId="0" borderId="0" xfId="0" applyFont="1" applyAlignment="1">
      <alignment horizontal="center"/>
    </xf>
    <xf numFmtId="0" fontId="43" fillId="0" borderId="0" xfId="0" applyFont="1"/>
    <xf numFmtId="0" fontId="0" fillId="0" borderId="0" xfId="0" applyAlignment="1">
      <alignment horizontal="left"/>
    </xf>
    <xf numFmtId="0" fontId="2" fillId="0" borderId="1"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4" fillId="0" borderId="12" xfId="0" applyFont="1" applyBorder="1" applyAlignment="1">
      <alignment horizontal="center"/>
    </xf>
    <xf numFmtId="0" fontId="4" fillId="0" borderId="4" xfId="0" applyFont="1" applyBorder="1" applyAlignment="1">
      <alignment horizontal="center"/>
    </xf>
    <xf numFmtId="0" fontId="3" fillId="0" borderId="0" xfId="0" applyFont="1" applyAlignment="1">
      <alignment horizontal="center"/>
    </xf>
    <xf numFmtId="1" fontId="3" fillId="0" borderId="0" xfId="0" applyNumberFormat="1" applyFont="1" applyAlignment="1">
      <alignment horizontal="center"/>
    </xf>
    <xf numFmtId="0" fontId="0" fillId="0" borderId="0" xfId="0" applyAlignment="1"/>
    <xf numFmtId="37" fontId="8" fillId="0" borderId="0" xfId="4" applyFont="1" applyBorder="1" applyAlignment="1" applyProtection="1">
      <alignment horizontal="center" wrapText="1"/>
    </xf>
    <xf numFmtId="37" fontId="8" fillId="0" borderId="25" xfId="4" applyFont="1" applyBorder="1" applyAlignment="1" applyProtection="1">
      <alignment horizontal="center" wrapText="1"/>
    </xf>
    <xf numFmtId="37" fontId="8" fillId="0" borderId="20" xfId="4" applyFont="1" applyBorder="1" applyAlignment="1" applyProtection="1">
      <alignment horizontal="center" wrapText="1"/>
    </xf>
    <xf numFmtId="37" fontId="8" fillId="0" borderId="26" xfId="4" applyFont="1" applyBorder="1" applyAlignment="1" applyProtection="1">
      <alignment horizontal="center" wrapText="1"/>
    </xf>
    <xf numFmtId="0" fontId="24" fillId="14" borderId="63" xfId="6" applyFont="1" applyFill="1" applyBorder="1" applyAlignment="1">
      <alignment horizontal="center" vertical="top"/>
    </xf>
    <xf numFmtId="0" fontId="24" fillId="14" borderId="39" xfId="6" applyFont="1" applyFill="1" applyBorder="1" applyAlignment="1">
      <alignment horizontal="center" vertical="top"/>
    </xf>
    <xf numFmtId="0" fontId="24" fillId="14" borderId="40" xfId="6" applyFont="1" applyFill="1" applyBorder="1" applyAlignment="1">
      <alignment horizontal="center" vertical="top"/>
    </xf>
    <xf numFmtId="0" fontId="25" fillId="13" borderId="38" xfId="6" applyFont="1" applyFill="1" applyBorder="1" applyAlignment="1">
      <alignment horizontal="center" vertical="top"/>
    </xf>
    <xf numFmtId="0" fontId="25" fillId="13" borderId="39" xfId="6" applyFont="1" applyFill="1" applyBorder="1" applyAlignment="1">
      <alignment horizontal="center" vertical="top"/>
    </xf>
    <xf numFmtId="0" fontId="25" fillId="13" borderId="40" xfId="6" applyFont="1" applyFill="1" applyBorder="1" applyAlignment="1">
      <alignment horizontal="center" vertical="top"/>
    </xf>
    <xf numFmtId="0" fontId="25" fillId="13" borderId="41" xfId="6" applyFont="1" applyFill="1" applyBorder="1" applyAlignment="1">
      <alignment horizontal="center" vertical="top"/>
    </xf>
    <xf numFmtId="0" fontId="24" fillId="14" borderId="36" xfId="6" applyFont="1" applyFill="1" applyBorder="1" applyAlignment="1">
      <alignment horizontal="center" vertical="top"/>
    </xf>
    <xf numFmtId="0" fontId="24" fillId="14" borderId="37" xfId="6" applyFont="1" applyFill="1" applyBorder="1" applyAlignment="1">
      <alignment horizontal="center" vertical="top"/>
    </xf>
    <xf numFmtId="0" fontId="24" fillId="14" borderId="36" xfId="6" applyFont="1" applyFill="1" applyBorder="1" applyAlignment="1">
      <alignment horizontal="left" vertical="top"/>
    </xf>
    <xf numFmtId="0" fontId="24" fillId="14" borderId="37" xfId="6" applyFont="1" applyFill="1" applyBorder="1" applyAlignment="1">
      <alignment horizontal="left" vertical="top"/>
    </xf>
  </cellXfs>
  <cellStyles count="9">
    <cellStyle name="Comma" xfId="5" builtinId="3"/>
    <cellStyle name="Comma 3" xfId="8" xr:uid="{00000000-0005-0000-0000-000001000000}"/>
    <cellStyle name="Currency" xfId="1" builtinId="4"/>
    <cellStyle name="Normal" xfId="0" builtinId="0"/>
    <cellStyle name="Normal 106" xfId="3" xr:uid="{00000000-0005-0000-0000-000004000000}"/>
    <cellStyle name="Normal 2" xfId="2" xr:uid="{00000000-0005-0000-0000-000005000000}"/>
    <cellStyle name="Normal 2 2" xfId="6" xr:uid="{00000000-0005-0000-0000-000006000000}"/>
    <cellStyle name="Normal 3" xfId="4" xr:uid="{00000000-0005-0000-0000-000007000000}"/>
    <cellStyle name="Normal 4" xfId="7" xr:uid="{00000000-0005-0000-0000-000008000000}"/>
  </cellStyles>
  <dxfs count="72">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2021 Resources</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A8-48EE-96F0-EC9B4758A4C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A8-48EE-96F0-EC9B4758A4C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A8-48EE-96F0-EC9B4758A4C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A8-48EE-96F0-EC9B4758A4C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A8-48EE-96F0-EC9B4758A4C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7A8-48EE-96F0-EC9B4758A4C7}"/>
              </c:ext>
            </c:extLst>
          </c:dPt>
          <c:dLbls>
            <c:dLbl>
              <c:idx val="0"/>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fld id="{BF5198F8-4F4A-4328-B116-10C370BD4306}" type="VALUE">
                      <a:rPr lang="en-US" sz="1400" b="1"/>
                      <a:pPr>
                        <a:defRPr sz="14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7A8-48EE-96F0-EC9B4758A4C7}"/>
                </c:ext>
              </c:extLst>
            </c:dLbl>
            <c:dLbl>
              <c:idx val="1"/>
              <c:tx>
                <c:rich>
                  <a:bodyPr/>
                  <a:lstStyle/>
                  <a:p>
                    <a:fld id="{26C87317-7043-46BB-B657-368DC10FEC77}" type="VALUE">
                      <a:rPr lang="en-US" sz="1400" b="1"/>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7A8-48EE-96F0-EC9B4758A4C7}"/>
                </c:ext>
              </c:extLst>
            </c:dLbl>
            <c:dLbl>
              <c:idx val="2"/>
              <c:layout>
                <c:manualLayout>
                  <c:x val="-0.11285818654111543"/>
                  <c:y val="8.869631680655303E-2"/>
                </c:manualLayout>
              </c:layout>
              <c:tx>
                <c:rich>
                  <a:bodyPr/>
                  <a:lstStyle/>
                  <a:p>
                    <a:fld id="{9901A647-13CB-4AD7-BDE6-54F8D6EE5EF0}" type="VALUE">
                      <a:rPr lang="en-US" sz="1400" b="1"/>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7A8-48EE-96F0-EC9B4758A4C7}"/>
                </c:ext>
              </c:extLst>
            </c:dLbl>
            <c:dLbl>
              <c:idx val="3"/>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fld id="{E30CB01E-AE43-4ECA-8E10-339CCE2F172F}" type="VALUE">
                      <a:rPr lang="en-US" sz="1400" b="1" baseline="0"/>
                      <a:pPr>
                        <a:defRPr sz="14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47A8-48EE-96F0-EC9B4758A4C7}"/>
                </c:ext>
              </c:extLst>
            </c:dLbl>
            <c:dLbl>
              <c:idx val="4"/>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9-47A8-48EE-96F0-EC9B4758A4C7}"/>
                </c:ext>
              </c:extLst>
            </c:dLbl>
            <c:dLbl>
              <c:idx val="5"/>
              <c:tx>
                <c:rich>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fld id="{D6E70A4B-2BDE-418E-9A65-81AD573FE06B}" type="VALUE">
                      <a:rPr lang="en-US" sz="1400" b="1"/>
                      <a:pPr>
                        <a:defRPr sz="1400" b="1"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47A8-48EE-96F0-EC9B4758A4C7}"/>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'Resource Chart'!$A$5:$A$10</c:f>
              <c:strCache>
                <c:ptCount val="6"/>
                <c:pt idx="0">
                  <c:v>Hoover</c:v>
                </c:pt>
                <c:pt idx="1">
                  <c:v>Solar</c:v>
                </c:pt>
                <c:pt idx="2">
                  <c:v>SRP</c:v>
                </c:pt>
                <c:pt idx="3">
                  <c:v>Auction</c:v>
                </c:pt>
                <c:pt idx="4">
                  <c:v>ACES Forward</c:v>
                </c:pt>
                <c:pt idx="5">
                  <c:v>DA Purchase/Sales</c:v>
                </c:pt>
              </c:strCache>
            </c:strRef>
          </c:cat>
          <c:val>
            <c:numRef>
              <c:f>'Resource Chart'!$C$5:$C$10</c:f>
              <c:numCache>
                <c:formatCode>0.00%</c:formatCode>
                <c:ptCount val="6"/>
                <c:pt idx="0">
                  <c:v>5.6398435675592926E-2</c:v>
                </c:pt>
                <c:pt idx="1">
                  <c:v>3.9503960883240721E-2</c:v>
                </c:pt>
                <c:pt idx="2">
                  <c:v>0.13546016026491392</c:v>
                </c:pt>
                <c:pt idx="3">
                  <c:v>0.4691003906160307</c:v>
                </c:pt>
                <c:pt idx="4">
                  <c:v>-9.1013675846615353E-3</c:v>
                </c:pt>
                <c:pt idx="5">
                  <c:v>0.3086384201448833</c:v>
                </c:pt>
              </c:numCache>
            </c:numRef>
          </c:val>
          <c:extLst>
            <c:ext xmlns:c16="http://schemas.microsoft.com/office/drawing/2014/chart" uri="{C3380CC4-5D6E-409C-BE32-E72D297353CC}">
              <c16:uniqueId val="{0000000C-47A8-48EE-96F0-EC9B4758A4C7}"/>
            </c:ext>
          </c:extLst>
        </c:ser>
        <c:dLbls>
          <c:showLegendKey val="0"/>
          <c:showVal val="0"/>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
          <c:y val="0.8421562689279225"/>
          <c:w val="0.99141964193038778"/>
          <c:h val="0.13586570909405554"/>
        </c:manualLayout>
      </c:layout>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r>
              <a:rPr lang="en-US" sz="1800" b="1">
                <a:solidFill>
                  <a:sysClr val="windowText" lastClr="000000"/>
                </a:solidFill>
              </a:rPr>
              <a:t>2021 Resources</a:t>
            </a:r>
          </a:p>
        </c:rich>
      </c:tx>
      <c:overlay val="0"/>
      <c:spPr>
        <a:noFill/>
        <a:ln>
          <a:noFill/>
        </a:ln>
        <a:effectLst/>
      </c:spPr>
      <c:txPr>
        <a:bodyPr rot="0" spcFirstLastPara="1" vertOverflow="ellipsis" vert="horz" wrap="square" anchor="ctr" anchorCtr="1"/>
        <a:lstStyle/>
        <a:p>
          <a:pPr>
            <a:defRPr sz="1800" b="1" i="0" u="none" strike="noStrike" kern="1200" spc="0" baseline="0">
              <a:solidFill>
                <a:sysClr val="windowText" lastClr="00000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EE-4A3D-B5B2-7C40719EF59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EE-4A3D-B5B2-7C40719EF59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EE-4A3D-B5B2-7C40719EF59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FEE-4A3D-B5B2-7C40719EF59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FEE-4A3D-B5B2-7C40719EF59D}"/>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FEE-4A3D-B5B2-7C40719EF59D}"/>
              </c:ext>
            </c:extLst>
          </c:dPt>
          <c:dLbls>
            <c:dLbl>
              <c:idx val="0"/>
              <c:tx>
                <c:rich>
                  <a:bodyPr/>
                  <a:lstStyle/>
                  <a:p>
                    <a:fld id="{BF5198F8-4F4A-4328-B116-10C370BD4306}" type="VALUE">
                      <a:rPr lang="en-US" sz="1400" b="1">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FEE-4A3D-B5B2-7C40719EF59D}"/>
                </c:ext>
              </c:extLst>
            </c:dLbl>
            <c:dLbl>
              <c:idx val="1"/>
              <c:layout>
                <c:manualLayout>
                  <c:x val="-6.515139215845526E-3"/>
                  <c:y val="1.8428369530731736E-2"/>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26C87317-7043-46BB-B657-368DC10FEC77}" type="VALUE">
                      <a:rPr lang="en-US" sz="1400" b="1">
                        <a:solidFill>
                          <a:sysClr val="windowText" lastClr="000000"/>
                        </a:solidFill>
                      </a:rPr>
                      <a:pPr>
                        <a:defRPr sz="1400" b="0" i="0" u="none" strike="noStrike" kern="1200" baseline="0">
                          <a:solidFill>
                            <a:sysClr val="windowText" lastClr="000000"/>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FEE-4A3D-B5B2-7C40719EF59D}"/>
                </c:ext>
              </c:extLst>
            </c:dLbl>
            <c:dLbl>
              <c:idx val="2"/>
              <c:layout>
                <c:manualLayout>
                  <c:x val="-0.11285818654111543"/>
                  <c:y val="8.869631680655303E-2"/>
                </c:manualLayout>
              </c:layout>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9901A647-13CB-4AD7-BDE6-54F8D6EE5EF0}" type="VALUE">
                      <a:rPr lang="en-US" sz="1400" b="1">
                        <a:solidFill>
                          <a:sysClr val="windowText" lastClr="000000"/>
                        </a:solidFill>
                      </a:rPr>
                      <a:pPr>
                        <a:defRPr sz="1400" b="0" i="0" u="none" strike="noStrike" kern="1200" baseline="0">
                          <a:solidFill>
                            <a:sysClr val="windowText" lastClr="000000"/>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FEE-4A3D-B5B2-7C40719EF59D}"/>
                </c:ext>
              </c:extLst>
            </c:dLbl>
            <c:dLbl>
              <c:idx val="3"/>
              <c:tx>
                <c:rich>
                  <a:bodyPr/>
                  <a:lstStyle/>
                  <a:p>
                    <a:fld id="{E30CB01E-AE43-4ECA-8E10-339CCE2F172F}" type="VALUE">
                      <a:rPr lang="en-US" sz="1400" b="1" baseline="0">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AFEE-4A3D-B5B2-7C40719EF59D}"/>
                </c:ext>
              </c:extLst>
            </c:dLbl>
            <c:dLbl>
              <c:idx val="4"/>
              <c:tx>
                <c:rich>
                  <a:bodyPr/>
                  <a:lstStyle/>
                  <a:p>
                    <a:fld id="{DDB94571-46FF-4CF6-9B30-8DD61ACE6345}" type="VALUE">
                      <a:rPr lang="en-US" b="1">
                        <a:solidFill>
                          <a:sysClr val="windowText" lastClr="000000"/>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AFEE-4A3D-B5B2-7C40719EF59D}"/>
                </c:ext>
              </c:extLst>
            </c:dLbl>
            <c:dLbl>
              <c:idx val="5"/>
              <c:tx>
                <c:rich>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fld id="{D6E70A4B-2BDE-418E-9A65-81AD573FE06B}" type="VALUE">
                      <a:rPr lang="en-US" sz="1400" b="1">
                        <a:solidFill>
                          <a:sysClr val="windowText" lastClr="000000"/>
                        </a:solidFill>
                      </a:rPr>
                      <a:pPr>
                        <a:defRPr sz="1400" b="0" i="0" u="none" strike="noStrike" kern="1200" baseline="0">
                          <a:solidFill>
                            <a:sysClr val="windowText" lastClr="000000"/>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B-AFEE-4A3D-B5B2-7C40719EF59D}"/>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'Resource Chart'!$A$5:$A$10</c:f>
              <c:strCache>
                <c:ptCount val="6"/>
                <c:pt idx="0">
                  <c:v>Hoover</c:v>
                </c:pt>
                <c:pt idx="1">
                  <c:v>Solar</c:v>
                </c:pt>
                <c:pt idx="2">
                  <c:v>SRP</c:v>
                </c:pt>
                <c:pt idx="3">
                  <c:v>Auction</c:v>
                </c:pt>
                <c:pt idx="4">
                  <c:v>ACES Forward</c:v>
                </c:pt>
                <c:pt idx="5">
                  <c:v>DA Purchase/Sales</c:v>
                </c:pt>
              </c:strCache>
            </c:strRef>
          </c:cat>
          <c:val>
            <c:numRef>
              <c:f>'Resource Chart'!$C$5:$C$10</c:f>
              <c:numCache>
                <c:formatCode>0.00%</c:formatCode>
                <c:ptCount val="6"/>
                <c:pt idx="0">
                  <c:v>5.6398435675592926E-2</c:v>
                </c:pt>
                <c:pt idx="1">
                  <c:v>3.9503960883240721E-2</c:v>
                </c:pt>
                <c:pt idx="2">
                  <c:v>0.13546016026491392</c:v>
                </c:pt>
                <c:pt idx="3">
                  <c:v>0.4691003906160307</c:v>
                </c:pt>
                <c:pt idx="4">
                  <c:v>-9.1013675846615353E-3</c:v>
                </c:pt>
                <c:pt idx="5">
                  <c:v>0.3086384201448833</c:v>
                </c:pt>
              </c:numCache>
            </c:numRef>
          </c:val>
          <c:extLst>
            <c:ext xmlns:c16="http://schemas.microsoft.com/office/drawing/2014/chart" uri="{C3380CC4-5D6E-409C-BE32-E72D297353CC}">
              <c16:uniqueId val="{0000000C-AFEE-4A3D-B5B2-7C40719EF59D}"/>
            </c:ext>
          </c:extLst>
        </c:ser>
        <c:dLbls>
          <c:showLegendKey val="0"/>
          <c:showVal val="0"/>
          <c:showCatName val="0"/>
          <c:showSerName val="0"/>
          <c:showPercent val="0"/>
          <c:showBubbleSize val="0"/>
          <c:showLeaderLines val="1"/>
        </c:dLbls>
        <c:firstSliceAng val="0"/>
      </c:pieChart>
      <c:spPr>
        <a:noFill/>
        <a:ln>
          <a:noFill/>
        </a:ln>
        <a:effectLst/>
      </c:spPr>
    </c:plotArea>
    <c:legend>
      <c:legendPos val="b"/>
      <c:legendEntry>
        <c:idx val="0"/>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Entry>
      <c:layout>
        <c:manualLayout>
          <c:xMode val="edge"/>
          <c:yMode val="edge"/>
          <c:x val="0"/>
          <c:y val="0.8421562689279225"/>
          <c:w val="0.99141964193038778"/>
          <c:h val="0.13586570909405554"/>
        </c:manualLayout>
      </c:layout>
      <c:overlay val="0"/>
      <c:spPr>
        <a:noFill/>
        <a:ln>
          <a:noFill/>
        </a:ln>
        <a:effectLst/>
      </c:spPr>
      <c:txPr>
        <a:bodyPr rot="0" spcFirstLastPara="1" vertOverflow="ellipsis" vert="horz" wrap="square" anchor="ctr" anchorCtr="1"/>
        <a:lstStyle/>
        <a:p>
          <a:pPr rtl="0">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solidFill>
                  <a:srgbClr val="14359E"/>
                </a:solidFill>
              </a:rPr>
              <a:t>2021 Monthly Purchases &amp; Estimated Load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Long-Term Resources</c:v>
          </c:tx>
          <c:spPr>
            <a:solidFill>
              <a:schemeClr val="accent1"/>
            </a:solidFill>
            <a:ln>
              <a:solidFill>
                <a:srgbClr val="5B9BD5"/>
              </a:solidFill>
            </a:ln>
            <a:effectLst/>
          </c:spPr>
          <c:invertIfNegative val="0"/>
          <c:cat>
            <c:strRef>
              <c:f>'Resource Chart'!$A$17:$A$28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'Resource Chart'!$F$17:$F$28</c:f>
              <c:numCache>
                <c:formatCode>#,##0</c:formatCode>
                <c:ptCount val="12"/>
                <c:pt idx="0">
                  <c:v>32654.834305999997</c:v>
                </c:pt>
                <c:pt idx="1">
                  <c:v>31793.822543000002</c:v>
                </c:pt>
                <c:pt idx="2">
                  <c:v>46824.578906000002</c:v>
                </c:pt>
                <c:pt idx="3">
                  <c:v>47932.408406000002</c:v>
                </c:pt>
                <c:pt idx="4">
                  <c:v>49659.633232</c:v>
                </c:pt>
                <c:pt idx="5">
                  <c:v>40688.076025999995</c:v>
                </c:pt>
                <c:pt idx="6">
                  <c:v>38634.092057999995</c:v>
                </c:pt>
                <c:pt idx="7">
                  <c:v>37450.306293000001</c:v>
                </c:pt>
                <c:pt idx="8">
                  <c:v>34427.285446000002</c:v>
                </c:pt>
                <c:pt idx="9">
                  <c:v>38354.256148</c:v>
                </c:pt>
                <c:pt idx="10">
                  <c:v>35659.631542000003</c:v>
                </c:pt>
                <c:pt idx="11">
                  <c:v>31314.186543999997</c:v>
                </c:pt>
              </c:numCache>
            </c:numRef>
          </c:val>
          <c:extLst>
            <c:ext xmlns:c16="http://schemas.microsoft.com/office/drawing/2014/chart" uri="{C3380CC4-5D6E-409C-BE32-E72D297353CC}">
              <c16:uniqueId val="{00000000-6F60-4F97-854F-35055B23AECC}"/>
            </c:ext>
          </c:extLst>
        </c:ser>
        <c:ser>
          <c:idx val="1"/>
          <c:order val="1"/>
          <c:tx>
            <c:v>Forward Purchases</c:v>
          </c:tx>
          <c:spPr>
            <a:solidFill>
              <a:schemeClr val="accent2"/>
            </a:solidFill>
            <a:ln>
              <a:solidFill>
                <a:srgbClr val="ED7D31"/>
              </a:solidFill>
            </a:ln>
            <a:effectLst/>
          </c:spPr>
          <c:invertIfNegative val="0"/>
          <c:cat>
            <c:strRef>
              <c:f>'Resource Chart'!$A$17:$A$28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'Resource Chart'!$E$17:$E$28</c:f>
              <c:numCache>
                <c:formatCode>#,##0_);\(#,##0\)</c:formatCode>
                <c:ptCount val="12"/>
                <c:pt idx="0">
                  <c:v>92599</c:v>
                </c:pt>
                <c:pt idx="1">
                  <c:v>100962.99999999999</c:v>
                </c:pt>
                <c:pt idx="2">
                  <c:v>118774</c:v>
                </c:pt>
                <c:pt idx="3">
                  <c:v>56464</c:v>
                </c:pt>
                <c:pt idx="4">
                  <c:v>60043.999999999993</c:v>
                </c:pt>
                <c:pt idx="5">
                  <c:v>39572</c:v>
                </c:pt>
                <c:pt idx="6">
                  <c:v>23085</c:v>
                </c:pt>
                <c:pt idx="7">
                  <c:v>21638</c:v>
                </c:pt>
                <c:pt idx="8">
                  <c:v>37379.999999999993</c:v>
                </c:pt>
                <c:pt idx="9">
                  <c:v>57935.000000000015</c:v>
                </c:pt>
                <c:pt idx="10">
                  <c:v>43139.999999999985</c:v>
                </c:pt>
                <c:pt idx="11">
                  <c:v>43855</c:v>
                </c:pt>
              </c:numCache>
            </c:numRef>
          </c:val>
          <c:extLst>
            <c:ext xmlns:c16="http://schemas.microsoft.com/office/drawing/2014/chart" uri="{C3380CC4-5D6E-409C-BE32-E72D297353CC}">
              <c16:uniqueId val="{00000001-6F60-4F97-854F-35055B23AECC}"/>
            </c:ext>
          </c:extLst>
        </c:ser>
        <c:ser>
          <c:idx val="2"/>
          <c:order val="2"/>
          <c:tx>
            <c:v>Remaining Load</c:v>
          </c:tx>
          <c:spPr>
            <a:pattFill prst="wdUpDiag">
              <a:fgClr>
                <a:sysClr val="window" lastClr="FFFFFF">
                  <a:lumMod val="50000"/>
                </a:sysClr>
              </a:fgClr>
              <a:bgClr>
                <a:sysClr val="window" lastClr="FFFFFF"/>
              </a:bgClr>
            </a:pattFill>
            <a:ln>
              <a:solidFill>
                <a:sysClr val="window" lastClr="FFFFFF">
                  <a:lumMod val="50000"/>
                </a:sysClr>
              </a:solidFill>
            </a:ln>
            <a:effectLst/>
          </c:spPr>
          <c:invertIfNegative val="0"/>
          <c:val>
            <c:numRef>
              <c:f>'Resource Chart'!$C$17:$C$28</c:f>
              <c:numCache>
                <c:formatCode>#,##0_);\(#,##0\)</c:formatCode>
                <c:ptCount val="12"/>
                <c:pt idx="0">
                  <c:v>31686.108302921581</c:v>
                </c:pt>
                <c:pt idx="1">
                  <c:v>32606.025116439268</c:v>
                </c:pt>
                <c:pt idx="2">
                  <c:v>93559.399789505609</c:v>
                </c:pt>
                <c:pt idx="3">
                  <c:v>149927.45740438486</c:v>
                </c:pt>
                <c:pt idx="4">
                  <c:v>161348.02801283717</c:v>
                </c:pt>
                <c:pt idx="5">
                  <c:v>21504.585374160422</c:v>
                </c:pt>
                <c:pt idx="6">
                  <c:v>6148.741514564128</c:v>
                </c:pt>
                <c:pt idx="7">
                  <c:v>4499.0862513764878</c:v>
                </c:pt>
                <c:pt idx="8">
                  <c:v>79336.137094872131</c:v>
                </c:pt>
                <c:pt idx="9">
                  <c:v>38373.057717010495</c:v>
                </c:pt>
                <c:pt idx="10">
                  <c:v>37583.910601471493</c:v>
                </c:pt>
                <c:pt idx="11">
                  <c:v>30723.712616299847</c:v>
                </c:pt>
              </c:numCache>
            </c:numRef>
          </c:val>
          <c:extLst>
            <c:ext xmlns:c16="http://schemas.microsoft.com/office/drawing/2014/chart" uri="{C3380CC4-5D6E-409C-BE32-E72D297353CC}">
              <c16:uniqueId val="{00000003-6F60-4F97-854F-35055B23AECC}"/>
            </c:ext>
          </c:extLst>
        </c:ser>
        <c:dLbls>
          <c:showLegendKey val="0"/>
          <c:showVal val="0"/>
          <c:showCatName val="0"/>
          <c:showSerName val="0"/>
          <c:showPercent val="0"/>
          <c:showBubbleSize val="0"/>
        </c:dLbls>
        <c:gapWidth val="150"/>
        <c:overlap val="100"/>
        <c:axId val="653848704"/>
        <c:axId val="653849688"/>
      </c:barChart>
      <c:catAx>
        <c:axId val="6538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849688"/>
        <c:crosses val="autoZero"/>
        <c:auto val="1"/>
        <c:lblAlgn val="ctr"/>
        <c:lblOffset val="100"/>
        <c:noMultiLvlLbl val="0"/>
      </c:catAx>
      <c:valAx>
        <c:axId val="653849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848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v>Load</c:v>
          </c:tx>
          <c:spPr>
            <a:solidFill>
              <a:schemeClr val="accent1"/>
            </a:solidFill>
            <a:ln>
              <a:noFill/>
            </a:ln>
            <a:effectLst/>
          </c:spPr>
          <c:invertIfNegative val="0"/>
          <c:cat>
            <c:strRef>
              <c:f>'Resource Chart'!$A$17:$A$28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'Resource Chart'!$B$17:$B$28</c:f>
              <c:numCache>
                <c:formatCode>#,##0_);\(#,##0\)</c:formatCode>
                <c:ptCount val="12"/>
                <c:pt idx="0">
                  <c:v>156939.94260892158</c:v>
                </c:pt>
                <c:pt idx="1">
                  <c:v>165362.84765943926</c:v>
                </c:pt>
                <c:pt idx="2">
                  <c:v>259157.97869550562</c:v>
                </c:pt>
                <c:pt idx="3">
                  <c:v>254323.86581038486</c:v>
                </c:pt>
                <c:pt idx="4">
                  <c:v>271051.66124483716</c:v>
                </c:pt>
                <c:pt idx="5">
                  <c:v>101764.66140016042</c:v>
                </c:pt>
                <c:pt idx="6">
                  <c:v>67867.833572564123</c:v>
                </c:pt>
                <c:pt idx="7">
                  <c:v>63587.392544376489</c:v>
                </c:pt>
                <c:pt idx="8">
                  <c:v>151143.42254087212</c:v>
                </c:pt>
                <c:pt idx="9">
                  <c:v>134662.31386501051</c:v>
                </c:pt>
                <c:pt idx="10">
                  <c:v>116383.54214347148</c:v>
                </c:pt>
                <c:pt idx="11">
                  <c:v>105892.89916029984</c:v>
                </c:pt>
              </c:numCache>
            </c:numRef>
          </c:val>
          <c:extLst>
            <c:ext xmlns:c16="http://schemas.microsoft.com/office/drawing/2014/chart" uri="{C3380CC4-5D6E-409C-BE32-E72D297353CC}">
              <c16:uniqueId val="{00000000-AEDC-43B9-A3E1-A2CEEC1504D5}"/>
            </c:ext>
          </c:extLst>
        </c:ser>
        <c:dLbls>
          <c:showLegendKey val="0"/>
          <c:showVal val="0"/>
          <c:showCatName val="0"/>
          <c:showSerName val="0"/>
          <c:showPercent val="0"/>
          <c:showBubbleSize val="0"/>
        </c:dLbls>
        <c:gapWidth val="150"/>
        <c:overlap val="100"/>
        <c:axId val="653848704"/>
        <c:axId val="653849688"/>
      </c:barChart>
      <c:catAx>
        <c:axId val="653848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849688"/>
        <c:crosses val="autoZero"/>
        <c:auto val="1"/>
        <c:lblAlgn val="ctr"/>
        <c:lblOffset val="100"/>
        <c:noMultiLvlLbl val="0"/>
      </c:catAx>
      <c:valAx>
        <c:axId val="653849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MWh</a:t>
                </a:r>
              </a:p>
            </c:rich>
          </c:tx>
          <c:layout>
            <c:manualLayout>
              <c:xMode val="edge"/>
              <c:yMode val="edge"/>
              <c:x val="1.282051282051282E-2"/>
              <c:y val="0.409957713619130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848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Lake</a:t>
            </a:r>
            <a:r>
              <a:rPr lang="en-US" baseline="0"/>
              <a:t> Pleasant Elevation</a:t>
            </a:r>
            <a:endParaRPr lang="en-US" sz="1400" b="0" baseline="0"/>
          </a:p>
          <a:p>
            <a:pPr>
              <a:defRPr/>
            </a:pPr>
            <a:r>
              <a:rPr lang="en-US" sz="1200" b="0" baseline="0"/>
              <a:t>Jan 2014-Nov 2018 Actual, Dec 2018-Dec 2019 Forecast</a:t>
            </a:r>
            <a:endParaRPr lang="en-US" sz="1200" b="0"/>
          </a:p>
        </c:rich>
      </c:tx>
      <c:overlay val="0"/>
    </c:title>
    <c:autoTitleDeleted val="0"/>
    <c:plotArea>
      <c:layout>
        <c:manualLayout>
          <c:layoutTarget val="inner"/>
          <c:xMode val="edge"/>
          <c:yMode val="edge"/>
          <c:x val="0.1147833996555946"/>
          <c:y val="0.1257935927407981"/>
          <c:w val="0.76670740682156957"/>
          <c:h val="0.75946512150462064"/>
        </c:manualLayout>
      </c:layout>
      <c:lineChart>
        <c:grouping val="standard"/>
        <c:varyColors val="0"/>
        <c:ser>
          <c:idx val="2"/>
          <c:order val="2"/>
          <c:tx>
            <c:strRef>
              <c:f>'Lake Pleasant Forecast'!$AD$21</c:f>
              <c:strCache>
                <c:ptCount val="1"/>
                <c:pt idx="0">
                  <c:v>2014</c:v>
                </c:pt>
              </c:strCache>
            </c:strRef>
          </c:tx>
          <c:marker>
            <c:symbol val="none"/>
          </c:marker>
          <c:cat>
            <c:strRef>
              <c:f>'Lake Pleasant Forecast'!$AA$22:$AA$33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'Lake Pleasant Forecast'!$AD$22:$AD$33</c:f>
              <c:numCache>
                <c:formatCode>#,##0.00_);\(#,##0.00\)</c:formatCode>
                <c:ptCount val="12"/>
                <c:pt idx="0">
                  <c:v>1676.01</c:v>
                </c:pt>
                <c:pt idx="1">
                  <c:v>1682.06</c:v>
                </c:pt>
                <c:pt idx="2">
                  <c:v>1687.21</c:v>
                </c:pt>
                <c:pt idx="3">
                  <c:v>1687.74</c:v>
                </c:pt>
                <c:pt idx="4">
                  <c:v>1686.17</c:v>
                </c:pt>
                <c:pt idx="5">
                  <c:v>1677.62</c:v>
                </c:pt>
                <c:pt idx="6">
                  <c:v>1664.9</c:v>
                </c:pt>
                <c:pt idx="7">
                  <c:v>1660.54</c:v>
                </c:pt>
                <c:pt idx="8">
                  <c:v>1663.61</c:v>
                </c:pt>
                <c:pt idx="9">
                  <c:v>1666.06</c:v>
                </c:pt>
                <c:pt idx="10">
                  <c:v>1672.78</c:v>
                </c:pt>
                <c:pt idx="11">
                  <c:v>1679.81</c:v>
                </c:pt>
              </c:numCache>
            </c:numRef>
          </c:val>
          <c:smooth val="0"/>
          <c:extLst>
            <c:ext xmlns:c16="http://schemas.microsoft.com/office/drawing/2014/chart" uri="{C3380CC4-5D6E-409C-BE32-E72D297353CC}">
              <c16:uniqueId val="{00000000-8489-4D92-A683-A2A2C45A7DC4}"/>
            </c:ext>
          </c:extLst>
        </c:ser>
        <c:ser>
          <c:idx val="6"/>
          <c:order val="3"/>
          <c:tx>
            <c:strRef>
              <c:f>'Lake Pleasant Forecast'!$AE$21</c:f>
              <c:strCache>
                <c:ptCount val="1"/>
                <c:pt idx="0">
                  <c:v>2015</c:v>
                </c:pt>
              </c:strCache>
            </c:strRef>
          </c:tx>
          <c:spPr>
            <a:ln>
              <a:solidFill>
                <a:schemeClr val="accent4"/>
              </a:solidFill>
            </a:ln>
          </c:spPr>
          <c:marker>
            <c:symbol val="none"/>
          </c:marker>
          <c:val>
            <c:numRef>
              <c:f>'Lake Pleasant Forecast'!$AE$22:$AE$33</c:f>
              <c:numCache>
                <c:formatCode>#,##0.00_);\(#,##0.00\)</c:formatCode>
                <c:ptCount val="12"/>
                <c:pt idx="0">
                  <c:v>1692.97</c:v>
                </c:pt>
                <c:pt idx="1">
                  <c:v>1695.21</c:v>
                </c:pt>
                <c:pt idx="2">
                  <c:v>1696.1</c:v>
                </c:pt>
                <c:pt idx="3">
                  <c:v>1692.06</c:v>
                </c:pt>
                <c:pt idx="4">
                  <c:v>1695.14</c:v>
                </c:pt>
                <c:pt idx="5">
                  <c:v>1685.16</c:v>
                </c:pt>
                <c:pt idx="6">
                  <c:v>1673.81</c:v>
                </c:pt>
                <c:pt idx="7">
                  <c:v>1660.2</c:v>
                </c:pt>
                <c:pt idx="8">
                  <c:v>1665.25</c:v>
                </c:pt>
                <c:pt idx="9">
                  <c:v>1667.24</c:v>
                </c:pt>
                <c:pt idx="10">
                  <c:v>1673.02</c:v>
                </c:pt>
                <c:pt idx="11">
                  <c:v>1678.56</c:v>
                </c:pt>
              </c:numCache>
            </c:numRef>
          </c:val>
          <c:smooth val="0"/>
          <c:extLst>
            <c:ext xmlns:c16="http://schemas.microsoft.com/office/drawing/2014/chart" uri="{C3380CC4-5D6E-409C-BE32-E72D297353CC}">
              <c16:uniqueId val="{00000001-8489-4D92-A683-A2A2C45A7DC4}"/>
            </c:ext>
          </c:extLst>
        </c:ser>
        <c:ser>
          <c:idx val="3"/>
          <c:order val="4"/>
          <c:tx>
            <c:strRef>
              <c:f>'Lake Pleasant Forecast'!$AF$21</c:f>
              <c:strCache>
                <c:ptCount val="1"/>
                <c:pt idx="0">
                  <c:v>2016</c:v>
                </c:pt>
              </c:strCache>
            </c:strRef>
          </c:tx>
          <c:spPr>
            <a:ln>
              <a:solidFill>
                <a:schemeClr val="accent6"/>
              </a:solidFill>
            </a:ln>
          </c:spPr>
          <c:marker>
            <c:symbol val="none"/>
          </c:marker>
          <c:cat>
            <c:strRef>
              <c:f>'Lake Pleasant Forecast'!$AA$22:$AA$33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'Lake Pleasant Forecast'!$AF$22:$AF$33</c:f>
              <c:numCache>
                <c:formatCode>#,##0.00_);\(#,##0.00\)</c:formatCode>
                <c:ptCount val="12"/>
                <c:pt idx="0">
                  <c:v>1691.4099999999999</c:v>
                </c:pt>
                <c:pt idx="1">
                  <c:v>1694.6000000000001</c:v>
                </c:pt>
                <c:pt idx="2">
                  <c:v>1693.55</c:v>
                </c:pt>
                <c:pt idx="3">
                  <c:v>1696.16</c:v>
                </c:pt>
                <c:pt idx="4">
                  <c:v>1697.04</c:v>
                </c:pt>
                <c:pt idx="5">
                  <c:v>1683.71</c:v>
                </c:pt>
                <c:pt idx="6">
                  <c:v>1668.3399999999997</c:v>
                </c:pt>
                <c:pt idx="7">
                  <c:v>1656.1100000000001</c:v>
                </c:pt>
                <c:pt idx="8">
                  <c:v>1655.21</c:v>
                </c:pt>
                <c:pt idx="9">
                  <c:v>1660.29</c:v>
                </c:pt>
                <c:pt idx="10">
                  <c:v>1669.95</c:v>
                </c:pt>
                <c:pt idx="11">
                  <c:v>1676.8100000000002</c:v>
                </c:pt>
              </c:numCache>
            </c:numRef>
          </c:val>
          <c:smooth val="0"/>
          <c:extLst>
            <c:ext xmlns:c16="http://schemas.microsoft.com/office/drawing/2014/chart" uri="{C3380CC4-5D6E-409C-BE32-E72D297353CC}">
              <c16:uniqueId val="{00000002-8489-4D92-A683-A2A2C45A7DC4}"/>
            </c:ext>
          </c:extLst>
        </c:ser>
        <c:ser>
          <c:idx val="4"/>
          <c:order val="5"/>
          <c:tx>
            <c:strRef>
              <c:f>'Lake Pleasant Forecast'!$AG$21</c:f>
              <c:strCache>
                <c:ptCount val="1"/>
                <c:pt idx="0">
                  <c:v>2017</c:v>
                </c:pt>
              </c:strCache>
            </c:strRef>
          </c:tx>
          <c:spPr>
            <a:ln w="28575"/>
          </c:spPr>
          <c:marker>
            <c:symbol val="none"/>
          </c:marker>
          <c:val>
            <c:numRef>
              <c:f>'Lake Pleasant Forecast'!$AG$22:$AG$33</c:f>
              <c:numCache>
                <c:formatCode>#,##0.00_);\(#,##0.00\)</c:formatCode>
                <c:ptCount val="12"/>
                <c:pt idx="0">
                  <c:v>1688.84</c:v>
                </c:pt>
                <c:pt idx="1">
                  <c:v>1693.6</c:v>
                </c:pt>
                <c:pt idx="2">
                  <c:v>1696.84</c:v>
                </c:pt>
                <c:pt idx="3">
                  <c:v>1697.48</c:v>
                </c:pt>
                <c:pt idx="4">
                  <c:v>1699.2</c:v>
                </c:pt>
                <c:pt idx="5">
                  <c:v>1685.59</c:v>
                </c:pt>
                <c:pt idx="6">
                  <c:v>1672.97</c:v>
                </c:pt>
                <c:pt idx="7">
                  <c:v>1659.82</c:v>
                </c:pt>
                <c:pt idx="8">
                  <c:v>1658.56</c:v>
                </c:pt>
                <c:pt idx="9">
                  <c:v>1663.98</c:v>
                </c:pt>
                <c:pt idx="10">
                  <c:v>1672.25</c:v>
                </c:pt>
                <c:pt idx="11">
                  <c:v>1680.49</c:v>
                </c:pt>
              </c:numCache>
            </c:numRef>
          </c:val>
          <c:smooth val="0"/>
          <c:extLst>
            <c:ext xmlns:c16="http://schemas.microsoft.com/office/drawing/2014/chart" uri="{C3380CC4-5D6E-409C-BE32-E72D297353CC}">
              <c16:uniqueId val="{00000003-8489-4D92-A683-A2A2C45A7DC4}"/>
            </c:ext>
          </c:extLst>
        </c:ser>
        <c:ser>
          <c:idx val="9"/>
          <c:order val="6"/>
          <c:tx>
            <c:strRef>
              <c:f>'Lake Pleasant Forecast'!$AH$21</c:f>
              <c:strCache>
                <c:ptCount val="1"/>
                <c:pt idx="0">
                  <c:v>2018</c:v>
                </c:pt>
              </c:strCache>
            </c:strRef>
          </c:tx>
          <c:marker>
            <c:symbol val="none"/>
          </c:marker>
          <c:val>
            <c:numRef>
              <c:f>'Lake Pleasant Forecast'!$AH$22:$AH$33</c:f>
              <c:numCache>
                <c:formatCode>#,##0.00_);\(#,##0.00\)</c:formatCode>
                <c:ptCount val="12"/>
                <c:pt idx="0">
                  <c:v>1684.54</c:v>
                </c:pt>
                <c:pt idx="1">
                  <c:v>1688.46</c:v>
                </c:pt>
                <c:pt idx="2">
                  <c:v>1691.01</c:v>
                </c:pt>
                <c:pt idx="3">
                  <c:v>1690.89</c:v>
                </c:pt>
                <c:pt idx="4">
                  <c:v>1690.06</c:v>
                </c:pt>
                <c:pt idx="5">
                  <c:v>1676.82</c:v>
                </c:pt>
                <c:pt idx="6">
                  <c:v>1661.6</c:v>
                </c:pt>
                <c:pt idx="7">
                  <c:v>1636.42</c:v>
                </c:pt>
                <c:pt idx="8">
                  <c:v>1637.44</c:v>
                </c:pt>
                <c:pt idx="9">
                  <c:v>1654.22</c:v>
                </c:pt>
                <c:pt idx="10">
                  <c:v>1665.14</c:v>
                </c:pt>
                <c:pt idx="11">
                  <c:v>1674.98</c:v>
                </c:pt>
              </c:numCache>
            </c:numRef>
          </c:val>
          <c:smooth val="0"/>
          <c:extLst>
            <c:ext xmlns:c16="http://schemas.microsoft.com/office/drawing/2014/chart" uri="{C3380CC4-5D6E-409C-BE32-E72D297353CC}">
              <c16:uniqueId val="{00000004-8489-4D92-A683-A2A2C45A7DC4}"/>
            </c:ext>
          </c:extLst>
        </c:ser>
        <c:ser>
          <c:idx val="5"/>
          <c:order val="7"/>
          <c:tx>
            <c:strRef>
              <c:f>'Lake Pleasant Forecast'!$AI$21</c:f>
              <c:strCache>
                <c:ptCount val="1"/>
                <c:pt idx="0">
                  <c:v>2019</c:v>
                </c:pt>
              </c:strCache>
            </c:strRef>
          </c:tx>
          <c:spPr>
            <a:ln w="28575">
              <a:solidFill>
                <a:schemeClr val="bg2">
                  <a:lumMod val="75000"/>
                </a:schemeClr>
              </a:solidFill>
              <a:prstDash val="solid"/>
            </a:ln>
          </c:spPr>
          <c:marker>
            <c:symbol val="none"/>
          </c:marker>
          <c:val>
            <c:numRef>
              <c:f>'Lake Pleasant Forecast'!$AI$22:$AI$33</c:f>
              <c:numCache>
                <c:formatCode>#,##0.00_);\(#,##0.00\)</c:formatCode>
                <c:ptCount val="12"/>
                <c:pt idx="0">
                  <c:v>1680.61</c:v>
                </c:pt>
                <c:pt idx="1">
                  <c:v>1694.83</c:v>
                </c:pt>
                <c:pt idx="2">
                  <c:v>1696.57</c:v>
                </c:pt>
                <c:pt idx="3">
                  <c:v>1695.77</c:v>
                </c:pt>
                <c:pt idx="4">
                  <c:v>1695.49</c:v>
                </c:pt>
                <c:pt idx="5">
                  <c:v>1685.6</c:v>
                </c:pt>
                <c:pt idx="6">
                  <c:v>1673.7</c:v>
                </c:pt>
                <c:pt idx="7">
                  <c:v>1663</c:v>
                </c:pt>
                <c:pt idx="8">
                  <c:v>1668</c:v>
                </c:pt>
                <c:pt idx="9">
                  <c:v>1672.13</c:v>
                </c:pt>
                <c:pt idx="10">
                  <c:v>1685.71</c:v>
                </c:pt>
                <c:pt idx="11">
                  <c:v>1689.88</c:v>
                </c:pt>
              </c:numCache>
            </c:numRef>
          </c:val>
          <c:smooth val="0"/>
          <c:extLst>
            <c:ext xmlns:c16="http://schemas.microsoft.com/office/drawing/2014/chart" uri="{C3380CC4-5D6E-409C-BE32-E72D297353CC}">
              <c16:uniqueId val="{00000005-8489-4D92-A683-A2A2C45A7DC4}"/>
            </c:ext>
          </c:extLst>
        </c:ser>
        <c:ser>
          <c:idx val="7"/>
          <c:order val="8"/>
          <c:tx>
            <c:strRef>
              <c:f>'Lake Pleasant Forecast'!$AJ$21</c:f>
              <c:strCache>
                <c:ptCount val="1"/>
                <c:pt idx="0">
                  <c:v>2020 </c:v>
                </c:pt>
              </c:strCache>
            </c:strRef>
          </c:tx>
          <c:spPr>
            <a:ln w="44450">
              <a:prstDash val="dash"/>
            </a:ln>
          </c:spPr>
          <c:marker>
            <c:symbol val="none"/>
          </c:marker>
          <c:val>
            <c:numRef>
              <c:f>'Lake Pleasant Forecast'!$AJ$22:$AJ$33</c:f>
              <c:numCache>
                <c:formatCode>#,##0.00_);\(#,##0.00\)</c:formatCode>
                <c:ptCount val="12"/>
                <c:pt idx="0">
                  <c:v>1690.1998116000643</c:v>
                </c:pt>
                <c:pt idx="1">
                  <c:v>1693.66</c:v>
                </c:pt>
                <c:pt idx="2">
                  <c:v>1696.7</c:v>
                </c:pt>
                <c:pt idx="3">
                  <c:v>1696.11085484296</c:v>
                </c:pt>
                <c:pt idx="4">
                  <c:v>1693.7800000000002</c:v>
                </c:pt>
                <c:pt idx="5">
                  <c:v>1681.1000000000001</c:v>
                </c:pt>
                <c:pt idx="6">
                  <c:v>1671.6699725311105</c:v>
                </c:pt>
                <c:pt idx="7">
                  <c:v>1661.2798188452823</c:v>
                </c:pt>
                <c:pt idx="8">
                  <c:v>1659.68</c:v>
                </c:pt>
                <c:pt idx="9">
                  <c:v>1666.1201789843401</c:v>
                </c:pt>
                <c:pt idx="10">
                  <c:v>1674.5115454492184</c:v>
                </c:pt>
                <c:pt idx="11">
                  <c:v>1676.0048921424359</c:v>
                </c:pt>
              </c:numCache>
            </c:numRef>
          </c:val>
          <c:smooth val="0"/>
          <c:extLst>
            <c:ext xmlns:c16="http://schemas.microsoft.com/office/drawing/2014/chart" uri="{C3380CC4-5D6E-409C-BE32-E72D297353CC}">
              <c16:uniqueId val="{00000006-8489-4D92-A683-A2A2C45A7DC4}"/>
            </c:ext>
          </c:extLst>
        </c:ser>
        <c:ser>
          <c:idx val="8"/>
          <c:order val="9"/>
          <c:tx>
            <c:strRef>
              <c:f>'Lake Pleasant Forecast'!$AK$21</c:f>
              <c:strCache>
                <c:ptCount val="1"/>
                <c:pt idx="0">
                  <c:v>2021 </c:v>
                </c:pt>
              </c:strCache>
            </c:strRef>
          </c:tx>
          <c:spPr>
            <a:ln>
              <a:prstDash val="dash"/>
            </a:ln>
          </c:spPr>
          <c:marker>
            <c:symbol val="none"/>
          </c:marker>
          <c:val>
            <c:numRef>
              <c:f>'Lake Pleasant Forecast'!$AK$22:$AK$33</c:f>
              <c:numCache>
                <c:formatCode>#,##0_);\(#,##0\)</c:formatCode>
                <c:ptCount val="12"/>
                <c:pt idx="0">
                  <c:v>1681.1662299347852</c:v>
                </c:pt>
                <c:pt idx="1">
                  <c:v>1683.7994033650061</c:v>
                </c:pt>
                <c:pt idx="2">
                  <c:v>1689.8681516903414</c:v>
                </c:pt>
                <c:pt idx="3">
                  <c:v>1692.7746549052806</c:v>
                </c:pt>
                <c:pt idx="4">
                  <c:v>1694.5322704488995</c:v>
                </c:pt>
                <c:pt idx="5">
                  <c:v>1684.7296787926045</c:v>
                </c:pt>
                <c:pt idx="6">
                  <c:v>1670.9540543541625</c:v>
                </c:pt>
                <c:pt idx="7">
                  <c:v>1657.8171004926969</c:v>
                </c:pt>
                <c:pt idx="8">
                  <c:v>1656.0125953442782</c:v>
                </c:pt>
                <c:pt idx="9">
                  <c:v>1657.7541449025921</c:v>
                </c:pt>
                <c:pt idx="10">
                  <c:v>1661.6824342464906</c:v>
                </c:pt>
                <c:pt idx="11">
                  <c:v>1664.6987777744255</c:v>
                </c:pt>
              </c:numCache>
            </c:numRef>
          </c:val>
          <c:smooth val="0"/>
          <c:extLst xmlns:c15="http://schemas.microsoft.com/office/drawing/2012/chart">
            <c:ext xmlns:c16="http://schemas.microsoft.com/office/drawing/2014/chart" uri="{C3380CC4-5D6E-409C-BE32-E72D297353CC}">
              <c16:uniqueId val="{00000007-8489-4D92-A683-A2A2C45A7DC4}"/>
            </c:ext>
          </c:extLst>
        </c:ser>
        <c:ser>
          <c:idx val="10"/>
          <c:order val="10"/>
          <c:tx>
            <c:strRef>
              <c:f>'Lake Pleasant Forecast'!$AL$21</c:f>
              <c:strCache>
                <c:ptCount val="1"/>
                <c:pt idx="0">
                  <c:v>2022 </c:v>
                </c:pt>
              </c:strCache>
            </c:strRef>
          </c:tx>
          <c:spPr>
            <a:ln>
              <a:prstDash val="dash"/>
            </a:ln>
          </c:spPr>
          <c:marker>
            <c:symbol val="none"/>
          </c:marker>
          <c:val>
            <c:numRef>
              <c:f>'Lake Pleasant Forecast'!$AL$22:$AL$33</c:f>
              <c:numCache>
                <c:formatCode>#,##0_);\(#,##0\)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8-8489-4D92-A683-A2A2C45A7DC4}"/>
            </c:ext>
          </c:extLst>
        </c:ser>
        <c:dLbls>
          <c:showLegendKey val="0"/>
          <c:showVal val="0"/>
          <c:showCatName val="0"/>
          <c:showSerName val="0"/>
          <c:showPercent val="0"/>
          <c:showBubbleSize val="0"/>
        </c:dLbls>
        <c:smooth val="0"/>
        <c:axId val="437681464"/>
        <c:axId val="437681856"/>
        <c:extLst>
          <c:ext xmlns:c15="http://schemas.microsoft.com/office/drawing/2012/chart" uri="{02D57815-91ED-43cb-92C2-25804820EDAC}">
            <c15:filteredLineSeries>
              <c15:ser>
                <c:idx val="0"/>
                <c:order val="0"/>
                <c:tx>
                  <c:strRef>
                    <c:extLst>
                      <c:ext uri="{02D57815-91ED-43cb-92C2-25804820EDAC}">
                        <c15:formulaRef>
                          <c15:sqref>'Lake Pleasant Forecast'!$AB$21</c15:sqref>
                        </c15:formulaRef>
                      </c:ext>
                    </c:extLst>
                    <c:strCache>
                      <c:ptCount val="1"/>
                      <c:pt idx="0">
                        <c:v>2012</c:v>
                      </c:pt>
                    </c:strCache>
                  </c:strRef>
                </c:tx>
                <c:marker>
                  <c:symbol val="none"/>
                </c:marker>
                <c:cat>
                  <c:strRef>
                    <c:extLst>
                      <c:ext uri="{02D57815-91ED-43cb-92C2-25804820EDAC}">
                        <c15:formulaRef>
                          <c15:sqref>'Lake Pleasant Forecast'!$AA$22:$AA$33</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c:ext uri="{02D57815-91ED-43cb-92C2-25804820EDAC}">
                        <c15:formulaRef>
                          <c15:sqref>'Lake Pleasant Forecast'!$AB$22:$AB$33</c15:sqref>
                        </c15:formulaRef>
                      </c:ext>
                    </c:extLst>
                    <c:numCache>
                      <c:formatCode>#,##0.00_);\(#,##0.00\)</c:formatCode>
                      <c:ptCount val="12"/>
                      <c:pt idx="0">
                        <c:v>1684.58</c:v>
                      </c:pt>
                      <c:pt idx="1">
                        <c:v>1691.71</c:v>
                      </c:pt>
                      <c:pt idx="2">
                        <c:v>1695.97</c:v>
                      </c:pt>
                      <c:pt idx="3">
                        <c:v>1695.87</c:v>
                      </c:pt>
                      <c:pt idx="4">
                        <c:v>1693.14</c:v>
                      </c:pt>
                      <c:pt idx="5">
                        <c:v>1683.69</c:v>
                      </c:pt>
                      <c:pt idx="6">
                        <c:v>1653.2</c:v>
                      </c:pt>
                      <c:pt idx="7">
                        <c:v>1652.62</c:v>
                      </c:pt>
                      <c:pt idx="8">
                        <c:v>1638.68</c:v>
                      </c:pt>
                      <c:pt idx="9">
                        <c:v>1640.34</c:v>
                      </c:pt>
                      <c:pt idx="10">
                        <c:v>1656.7</c:v>
                      </c:pt>
                      <c:pt idx="11">
                        <c:v>1664.26</c:v>
                      </c:pt>
                    </c:numCache>
                  </c:numRef>
                </c:val>
                <c:smooth val="0"/>
                <c:extLst>
                  <c:ext xmlns:c16="http://schemas.microsoft.com/office/drawing/2014/chart" uri="{C3380CC4-5D6E-409C-BE32-E72D297353CC}">
                    <c16:uniqueId val="{00000009-8489-4D92-A683-A2A2C45A7DC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'Lake Pleasant Forecast'!$AC$21</c15:sqref>
                        </c15:formulaRef>
                      </c:ext>
                    </c:extLst>
                    <c:strCache>
                      <c:ptCount val="1"/>
                      <c:pt idx="0">
                        <c:v>2013</c:v>
                      </c:pt>
                    </c:strCache>
                  </c:strRef>
                </c:tx>
                <c:marker>
                  <c:symbol val="none"/>
                </c:marker>
                <c:cat>
                  <c:strRef>
                    <c:extLst xmlns:c15="http://schemas.microsoft.com/office/drawing/2012/chart">
                      <c:ext xmlns:c15="http://schemas.microsoft.com/office/drawing/2012/chart" uri="{02D57815-91ED-43cb-92C2-25804820EDAC}">
                        <c15:formulaRef>
                          <c15:sqref>'Lake Pleasant Forecast'!$AA$22:$AA$33</c15:sqref>
                        </c15:formulaRef>
                      </c:ext>
                    </c:extLst>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extLst xmlns:c15="http://schemas.microsoft.com/office/drawing/2012/chart">
                      <c:ext xmlns:c15="http://schemas.microsoft.com/office/drawing/2012/chart" uri="{02D57815-91ED-43cb-92C2-25804820EDAC}">
                        <c15:formulaRef>
                          <c15:sqref>'Lake Pleasant Forecast'!$AC$22:$AC$33</c15:sqref>
                        </c15:formulaRef>
                      </c:ext>
                    </c:extLst>
                    <c:numCache>
                      <c:formatCode>#,##0.00_);\(#,##0.00\)</c:formatCode>
                      <c:ptCount val="12"/>
                      <c:pt idx="0">
                        <c:v>1668.54</c:v>
                      </c:pt>
                      <c:pt idx="1">
                        <c:v>1679.39</c:v>
                      </c:pt>
                      <c:pt idx="2">
                        <c:v>1686.95</c:v>
                      </c:pt>
                      <c:pt idx="3">
                        <c:v>1682.49</c:v>
                      </c:pt>
                      <c:pt idx="4">
                        <c:v>1679.39</c:v>
                      </c:pt>
                      <c:pt idx="5">
                        <c:v>1668.83</c:v>
                      </c:pt>
                      <c:pt idx="6">
                        <c:v>1655.42</c:v>
                      </c:pt>
                      <c:pt idx="7">
                        <c:v>1641.57</c:v>
                      </c:pt>
                      <c:pt idx="8">
                        <c:v>1646.14</c:v>
                      </c:pt>
                      <c:pt idx="9">
                        <c:v>1657.17</c:v>
                      </c:pt>
                      <c:pt idx="10">
                        <c:v>1667.83</c:v>
                      </c:pt>
                      <c:pt idx="11">
                        <c:v>1672.96</c:v>
                      </c:pt>
                    </c:numCache>
                  </c:numRef>
                </c:val>
                <c:smooth val="0"/>
                <c:extLst xmlns:c15="http://schemas.microsoft.com/office/drawing/2012/chart">
                  <c:ext xmlns:c16="http://schemas.microsoft.com/office/drawing/2014/chart" uri="{C3380CC4-5D6E-409C-BE32-E72D297353CC}">
                    <c16:uniqueId val="{0000000A-8489-4D92-A683-A2A2C45A7DC4}"/>
                  </c:ext>
                </c:extLst>
              </c15:ser>
            </c15:filteredLineSeries>
          </c:ext>
        </c:extLst>
      </c:lineChart>
      <c:catAx>
        <c:axId val="437681464"/>
        <c:scaling>
          <c:orientation val="minMax"/>
        </c:scaling>
        <c:delete val="0"/>
        <c:axPos val="b"/>
        <c:numFmt formatCode="General" sourceLinked="1"/>
        <c:majorTickMark val="none"/>
        <c:minorTickMark val="none"/>
        <c:tickLblPos val="nextTo"/>
        <c:txPr>
          <a:bodyPr/>
          <a:lstStyle/>
          <a:p>
            <a:pPr>
              <a:defRPr sz="1200"/>
            </a:pPr>
            <a:endParaRPr lang="en-US"/>
          </a:p>
        </c:txPr>
        <c:crossAx val="437681856"/>
        <c:crosses val="autoZero"/>
        <c:auto val="1"/>
        <c:lblAlgn val="ctr"/>
        <c:lblOffset val="100"/>
        <c:noMultiLvlLbl val="1"/>
      </c:catAx>
      <c:valAx>
        <c:axId val="437681856"/>
        <c:scaling>
          <c:orientation val="minMax"/>
          <c:max val="1710"/>
          <c:min val="1580"/>
        </c:scaling>
        <c:delete val="0"/>
        <c:axPos val="l"/>
        <c:majorGridlines/>
        <c:minorGridlines>
          <c:spPr>
            <a:ln w="3175">
              <a:prstDash val="sysDash"/>
            </a:ln>
          </c:spPr>
        </c:minorGridlines>
        <c:title>
          <c:tx>
            <c:rich>
              <a:bodyPr/>
              <a:lstStyle/>
              <a:p>
                <a:pPr>
                  <a:defRPr sz="1400" b="0"/>
                </a:pPr>
                <a:r>
                  <a:rPr lang="en-US" sz="1400" b="0"/>
                  <a:t>End</a:t>
                </a:r>
                <a:r>
                  <a:rPr lang="en-US" sz="1400" b="0" baseline="0"/>
                  <a:t> of Month Elevation (ft)</a:t>
                </a:r>
                <a:endParaRPr lang="en-US" sz="1400" b="0"/>
              </a:p>
            </c:rich>
          </c:tx>
          <c:overlay val="0"/>
        </c:title>
        <c:numFmt formatCode="#,##0_);\(#,##0\)" sourceLinked="0"/>
        <c:majorTickMark val="none"/>
        <c:minorTickMark val="none"/>
        <c:tickLblPos val="nextTo"/>
        <c:txPr>
          <a:bodyPr/>
          <a:lstStyle/>
          <a:p>
            <a:pPr>
              <a:defRPr sz="1200"/>
            </a:pPr>
            <a:endParaRPr lang="en-US"/>
          </a:p>
        </c:txPr>
        <c:crossAx val="437681464"/>
        <c:crosses val="autoZero"/>
        <c:crossBetween val="between"/>
        <c:majorUnit val="10"/>
        <c:minorUnit val="5"/>
      </c:valAx>
    </c:plotArea>
    <c:legend>
      <c:legendPos val="r"/>
      <c:overlay val="0"/>
      <c:txPr>
        <a:bodyPr/>
        <a:lstStyle/>
        <a:p>
          <a:pPr>
            <a:defRPr sz="1200"/>
          </a:pPr>
          <a:endParaRPr lang="en-US"/>
        </a:p>
      </c:txPr>
    </c:legend>
    <c:plotVisOnly val="1"/>
    <c:dispBlanksAs val="gap"/>
    <c:showDLblsOverMax val="0"/>
  </c:chart>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12</xdr:col>
      <xdr:colOff>333375</xdr:colOff>
      <xdr:row>3</xdr:row>
      <xdr:rowOff>152400</xdr:rowOff>
    </xdr:from>
    <xdr:to>
      <xdr:col>21</xdr:col>
      <xdr:colOff>390525</xdr:colOff>
      <xdr:row>22</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314325</xdr:colOff>
      <xdr:row>23</xdr:row>
      <xdr:rowOff>9525</xdr:rowOff>
    </xdr:from>
    <xdr:to>
      <xdr:col>21</xdr:col>
      <xdr:colOff>371475</xdr:colOff>
      <xdr:row>41</xdr:row>
      <xdr:rowOff>47625</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19</xdr:col>
      <xdr:colOff>47626</xdr:colOff>
      <xdr:row>25</xdr:row>
      <xdr:rowOff>114301</xdr:rowOff>
    </xdr:from>
    <xdr:ext cx="1047749" cy="742949"/>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3573126" y="4876801"/>
          <a:ext cx="1047749" cy="742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400" b="1"/>
            <a:t>Long-Term</a:t>
          </a:r>
        </a:p>
        <a:p>
          <a:pPr algn="ctr"/>
          <a:r>
            <a:rPr lang="en-US" sz="1400" b="1" baseline="0"/>
            <a:t>Resources </a:t>
          </a:r>
        </a:p>
        <a:p>
          <a:pPr algn="ctr"/>
          <a:r>
            <a:rPr lang="en-US" sz="1400" b="1" baseline="0"/>
            <a:t>~20%</a:t>
          </a:r>
          <a:endParaRPr lang="en-US" sz="1400" b="1"/>
        </a:p>
      </xdr:txBody>
    </xdr:sp>
    <xdr:clientData/>
  </xdr:oneCellAnchor>
  <xdr:twoCellAnchor>
    <xdr:from>
      <xdr:col>1</xdr:col>
      <xdr:colOff>0</xdr:colOff>
      <xdr:row>37</xdr:row>
      <xdr:rowOff>0</xdr:rowOff>
    </xdr:from>
    <xdr:to>
      <xdr:col>6</xdr:col>
      <xdr:colOff>581025</xdr:colOff>
      <xdr:row>51</xdr:row>
      <xdr:rowOff>76200</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54</xdr:row>
      <xdr:rowOff>0</xdr:rowOff>
    </xdr:from>
    <xdr:to>
      <xdr:col>6</xdr:col>
      <xdr:colOff>581025</xdr:colOff>
      <xdr:row>68</xdr:row>
      <xdr:rowOff>76200</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0.45189</cdr:x>
      <cdr:y>0.13462</cdr:y>
    </cdr:from>
    <cdr:to>
      <cdr:x>0.71581</cdr:x>
      <cdr:y>0.39835</cdr:y>
    </cdr:to>
    <cdr:sp macro="" textlink="">
      <cdr:nvSpPr>
        <cdr:cNvPr id="2" name="Teardrop 1"/>
        <cdr:cNvSpPr/>
      </cdr:nvSpPr>
      <cdr:spPr>
        <a:xfrm xmlns:a="http://schemas.openxmlformats.org/drawingml/2006/main" rot="-1260000">
          <a:off x="2505073" y="466724"/>
          <a:ext cx="1463040" cy="914400"/>
        </a:xfrm>
        <a:prstGeom xmlns:a="http://schemas.openxmlformats.org/drawingml/2006/main" prst="teardrop">
          <a:avLst/>
        </a:prstGeom>
        <a:noFill xmlns:a="http://schemas.openxmlformats.org/drawingml/2006/main"/>
        <a:scene3d xmlns:a="http://schemas.openxmlformats.org/drawingml/2006/main">
          <a:camera prst="orthographicFront">
            <a:rot lat="0" lon="0" rev="18600000"/>
          </a:camera>
          <a:lightRig rig="threePt" dir="t"/>
        </a:scene3d>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27</xdr:col>
      <xdr:colOff>11906</xdr:colOff>
      <xdr:row>35</xdr:row>
      <xdr:rowOff>9525</xdr:rowOff>
    </xdr:from>
    <xdr:to>
      <xdr:col>40</xdr:col>
      <xdr:colOff>714376</xdr:colOff>
      <xdr:row>71</xdr:row>
      <xdr:rowOff>107156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1066800</xdr:colOff>
      <xdr:row>6</xdr:row>
      <xdr:rowOff>0</xdr:rowOff>
    </xdr:from>
    <xdr:to>
      <xdr:col>10</xdr:col>
      <xdr:colOff>600075</xdr:colOff>
      <xdr:row>6</xdr:row>
      <xdr:rowOff>0</xdr:rowOff>
    </xdr:to>
    <xdr:sp macro="" textlink="">
      <xdr:nvSpPr>
        <xdr:cNvPr id="2" name="Line 1">
          <a:extLst>
            <a:ext uri="{FF2B5EF4-FFF2-40B4-BE49-F238E27FC236}">
              <a16:creationId xmlns:a16="http://schemas.microsoft.com/office/drawing/2014/main" id="{DC6C0486-A1C7-4429-972F-1E8708409101}"/>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3" name="Line 2">
          <a:extLst>
            <a:ext uri="{FF2B5EF4-FFF2-40B4-BE49-F238E27FC236}">
              <a16:creationId xmlns:a16="http://schemas.microsoft.com/office/drawing/2014/main" id="{A543D07E-1792-4AD3-8190-F5451EB706A1}"/>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4" name="Line 3">
          <a:extLst>
            <a:ext uri="{FF2B5EF4-FFF2-40B4-BE49-F238E27FC236}">
              <a16:creationId xmlns:a16="http://schemas.microsoft.com/office/drawing/2014/main" id="{3A6A7195-4541-4FC5-AFAC-41251EB2836C}"/>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5" name="Line 4">
          <a:extLst>
            <a:ext uri="{FF2B5EF4-FFF2-40B4-BE49-F238E27FC236}">
              <a16:creationId xmlns:a16="http://schemas.microsoft.com/office/drawing/2014/main" id="{A5151664-E168-4C3C-B57A-8C4C78D36E53}"/>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6" name="Line 5">
          <a:extLst>
            <a:ext uri="{FF2B5EF4-FFF2-40B4-BE49-F238E27FC236}">
              <a16:creationId xmlns:a16="http://schemas.microsoft.com/office/drawing/2014/main" id="{0260D90B-15A6-4DA2-B921-90203B29DBA5}"/>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0</xdr:row>
      <xdr:rowOff>0</xdr:rowOff>
    </xdr:from>
    <xdr:to>
      <xdr:col>10</xdr:col>
      <xdr:colOff>600075</xdr:colOff>
      <xdr:row>0</xdr:row>
      <xdr:rowOff>0</xdr:rowOff>
    </xdr:to>
    <xdr:sp macro="" textlink="">
      <xdr:nvSpPr>
        <xdr:cNvPr id="7" name="Line 10">
          <a:extLst>
            <a:ext uri="{FF2B5EF4-FFF2-40B4-BE49-F238E27FC236}">
              <a16:creationId xmlns:a16="http://schemas.microsoft.com/office/drawing/2014/main" id="{72107C31-D728-486A-86BF-BDB199524F73}"/>
            </a:ext>
          </a:extLst>
        </xdr:cNvPr>
        <xdr:cNvSpPr>
          <a:spLocks noChangeShapeType="1"/>
        </xdr:cNvSpPr>
      </xdr:nvSpPr>
      <xdr:spPr bwMode="auto">
        <a:xfrm flipV="1">
          <a:off x="7248525"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8" name="Line 11">
          <a:extLst>
            <a:ext uri="{FF2B5EF4-FFF2-40B4-BE49-F238E27FC236}">
              <a16:creationId xmlns:a16="http://schemas.microsoft.com/office/drawing/2014/main" id="{BD4E6BFC-A35B-42BB-853C-740A362A0FC1}"/>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9" name="Line 12">
          <a:extLst>
            <a:ext uri="{FF2B5EF4-FFF2-40B4-BE49-F238E27FC236}">
              <a16:creationId xmlns:a16="http://schemas.microsoft.com/office/drawing/2014/main" id="{ED78CAD9-9C7D-4A59-BF66-0D8324D3769B}"/>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638175</xdr:colOff>
      <xdr:row>0</xdr:row>
      <xdr:rowOff>0</xdr:rowOff>
    </xdr:to>
    <xdr:sp macro="" textlink="">
      <xdr:nvSpPr>
        <xdr:cNvPr id="10" name="Line 13">
          <a:extLst>
            <a:ext uri="{FF2B5EF4-FFF2-40B4-BE49-F238E27FC236}">
              <a16:creationId xmlns:a16="http://schemas.microsoft.com/office/drawing/2014/main" id="{28BDED7A-1A70-4532-AEB4-814DD5BADA5C}"/>
            </a:ext>
          </a:extLst>
        </xdr:cNvPr>
        <xdr:cNvSpPr>
          <a:spLocks noChangeShapeType="1"/>
        </xdr:cNvSpPr>
      </xdr:nvSpPr>
      <xdr:spPr bwMode="auto">
        <a:xfrm flipV="1">
          <a:off x="72485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0</xdr:row>
      <xdr:rowOff>0</xdr:rowOff>
    </xdr:from>
    <xdr:to>
      <xdr:col>10</xdr:col>
      <xdr:colOff>581025</xdr:colOff>
      <xdr:row>0</xdr:row>
      <xdr:rowOff>0</xdr:rowOff>
    </xdr:to>
    <xdr:sp macro="" textlink="">
      <xdr:nvSpPr>
        <xdr:cNvPr id="11" name="Line 14">
          <a:extLst>
            <a:ext uri="{FF2B5EF4-FFF2-40B4-BE49-F238E27FC236}">
              <a16:creationId xmlns:a16="http://schemas.microsoft.com/office/drawing/2014/main" id="{2C1A8DA3-F66E-497C-AE8C-936592016AA9}"/>
            </a:ext>
          </a:extLst>
        </xdr:cNvPr>
        <xdr:cNvSpPr>
          <a:spLocks noChangeShapeType="1"/>
        </xdr:cNvSpPr>
      </xdr:nvSpPr>
      <xdr:spPr bwMode="auto">
        <a:xfrm flipV="1">
          <a:off x="6772275" y="0"/>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676275</xdr:colOff>
      <xdr:row>0</xdr:row>
      <xdr:rowOff>0</xdr:rowOff>
    </xdr:to>
    <xdr:sp macro="" textlink="">
      <xdr:nvSpPr>
        <xdr:cNvPr id="12" name="Line 15">
          <a:extLst>
            <a:ext uri="{FF2B5EF4-FFF2-40B4-BE49-F238E27FC236}">
              <a16:creationId xmlns:a16="http://schemas.microsoft.com/office/drawing/2014/main" id="{892EBC87-BE16-4F5D-A2C8-0603AD522E16}"/>
            </a:ext>
          </a:extLst>
        </xdr:cNvPr>
        <xdr:cNvSpPr>
          <a:spLocks noChangeShapeType="1"/>
        </xdr:cNvSpPr>
      </xdr:nvSpPr>
      <xdr:spPr bwMode="auto">
        <a:xfrm flipV="1">
          <a:off x="7248525" y="0"/>
          <a:ext cx="4248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xdr:colOff>
      <xdr:row>0</xdr:row>
      <xdr:rowOff>0</xdr:rowOff>
    </xdr:from>
    <xdr:to>
      <xdr:col>10</xdr:col>
      <xdr:colOff>676275</xdr:colOff>
      <xdr:row>0</xdr:row>
      <xdr:rowOff>0</xdr:rowOff>
    </xdr:to>
    <xdr:sp macro="" textlink="">
      <xdr:nvSpPr>
        <xdr:cNvPr id="13" name="Line 16">
          <a:extLst>
            <a:ext uri="{FF2B5EF4-FFF2-40B4-BE49-F238E27FC236}">
              <a16:creationId xmlns:a16="http://schemas.microsoft.com/office/drawing/2014/main" id="{E6D68602-4B99-496D-B829-7F97E87D3FD2}"/>
            </a:ext>
          </a:extLst>
        </xdr:cNvPr>
        <xdr:cNvSpPr>
          <a:spLocks noChangeShapeType="1"/>
        </xdr:cNvSpPr>
      </xdr:nvSpPr>
      <xdr:spPr bwMode="auto">
        <a:xfrm flipV="1">
          <a:off x="72866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542925</xdr:colOff>
      <xdr:row>0</xdr:row>
      <xdr:rowOff>0</xdr:rowOff>
    </xdr:from>
    <xdr:to>
      <xdr:col>10</xdr:col>
      <xdr:colOff>647700</xdr:colOff>
      <xdr:row>0</xdr:row>
      <xdr:rowOff>0</xdr:rowOff>
    </xdr:to>
    <xdr:sp macro="" textlink="">
      <xdr:nvSpPr>
        <xdr:cNvPr id="14" name="Line 17">
          <a:extLst>
            <a:ext uri="{FF2B5EF4-FFF2-40B4-BE49-F238E27FC236}">
              <a16:creationId xmlns:a16="http://schemas.microsoft.com/office/drawing/2014/main" id="{1CE69906-B86B-4314-8D70-5323F214B5C1}"/>
            </a:ext>
          </a:extLst>
        </xdr:cNvPr>
        <xdr:cNvSpPr>
          <a:spLocks noChangeShapeType="1"/>
        </xdr:cNvSpPr>
      </xdr:nvSpPr>
      <xdr:spPr bwMode="auto">
        <a:xfrm flipV="1">
          <a:off x="6734175" y="0"/>
          <a:ext cx="47339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15" name="Line 18">
          <a:extLst>
            <a:ext uri="{FF2B5EF4-FFF2-40B4-BE49-F238E27FC236}">
              <a16:creationId xmlns:a16="http://schemas.microsoft.com/office/drawing/2014/main" id="{A68C5CEB-94BF-477E-8885-2B2E4C14B3D8}"/>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16" name="Line 19">
          <a:extLst>
            <a:ext uri="{FF2B5EF4-FFF2-40B4-BE49-F238E27FC236}">
              <a16:creationId xmlns:a16="http://schemas.microsoft.com/office/drawing/2014/main" id="{EC40837E-ECCB-48D0-8C28-D7B37AA5847C}"/>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17" name="Line 20">
          <a:extLst>
            <a:ext uri="{FF2B5EF4-FFF2-40B4-BE49-F238E27FC236}">
              <a16:creationId xmlns:a16="http://schemas.microsoft.com/office/drawing/2014/main" id="{C9566B86-CE45-4422-B69F-4E2CB8E2494B}"/>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18" name="Line 21">
          <a:extLst>
            <a:ext uri="{FF2B5EF4-FFF2-40B4-BE49-F238E27FC236}">
              <a16:creationId xmlns:a16="http://schemas.microsoft.com/office/drawing/2014/main" id="{3AB8A9A6-7C72-481F-B6C0-C0429EE76558}"/>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19" name="Line 22">
          <a:extLst>
            <a:ext uri="{FF2B5EF4-FFF2-40B4-BE49-F238E27FC236}">
              <a16:creationId xmlns:a16="http://schemas.microsoft.com/office/drawing/2014/main" id="{9B3740FE-132D-4921-B493-33C406C6259B}"/>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66675</xdr:colOff>
      <xdr:row>16</xdr:row>
      <xdr:rowOff>114300</xdr:rowOff>
    </xdr:from>
    <xdr:to>
      <xdr:col>10</xdr:col>
      <xdr:colOff>552450</xdr:colOff>
      <xdr:row>21</xdr:row>
      <xdr:rowOff>76200</xdr:rowOff>
    </xdr:to>
    <xdr:sp macro="" textlink="">
      <xdr:nvSpPr>
        <xdr:cNvPr id="20" name="Line 29">
          <a:extLst>
            <a:ext uri="{FF2B5EF4-FFF2-40B4-BE49-F238E27FC236}">
              <a16:creationId xmlns:a16="http://schemas.microsoft.com/office/drawing/2014/main" id="{EB4B982A-E8D9-45C9-8D92-478C93B981E3}"/>
            </a:ext>
          </a:extLst>
        </xdr:cNvPr>
        <xdr:cNvSpPr>
          <a:spLocks noChangeShapeType="1"/>
        </xdr:cNvSpPr>
      </xdr:nvSpPr>
      <xdr:spPr bwMode="auto">
        <a:xfrm flipV="1">
          <a:off x="7315200" y="1219200"/>
          <a:ext cx="40576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21" name="Line 31">
          <a:extLst>
            <a:ext uri="{FF2B5EF4-FFF2-40B4-BE49-F238E27FC236}">
              <a16:creationId xmlns:a16="http://schemas.microsoft.com/office/drawing/2014/main" id="{ADF78909-0EAB-4C94-86D0-CFAFD2974478}"/>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22" name="Line 40">
          <a:extLst>
            <a:ext uri="{FF2B5EF4-FFF2-40B4-BE49-F238E27FC236}">
              <a16:creationId xmlns:a16="http://schemas.microsoft.com/office/drawing/2014/main" id="{0BF08BBD-0282-4C62-BC5F-38056A994B33}"/>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23" name="Line 41">
          <a:extLst>
            <a:ext uri="{FF2B5EF4-FFF2-40B4-BE49-F238E27FC236}">
              <a16:creationId xmlns:a16="http://schemas.microsoft.com/office/drawing/2014/main" id="{134CCA8C-A5DF-40E8-AECF-9074EBFFEF64}"/>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24" name="Line 42">
          <a:extLst>
            <a:ext uri="{FF2B5EF4-FFF2-40B4-BE49-F238E27FC236}">
              <a16:creationId xmlns:a16="http://schemas.microsoft.com/office/drawing/2014/main" id="{D72B42DC-6F6C-4558-9FF7-0C1EDC6DCDB5}"/>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25" name="Line 43">
          <a:extLst>
            <a:ext uri="{FF2B5EF4-FFF2-40B4-BE49-F238E27FC236}">
              <a16:creationId xmlns:a16="http://schemas.microsoft.com/office/drawing/2014/main" id="{EF68C8B0-9608-45E4-881F-2FBAFD8A1DB1}"/>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26" name="Line 44">
          <a:extLst>
            <a:ext uri="{FF2B5EF4-FFF2-40B4-BE49-F238E27FC236}">
              <a16:creationId xmlns:a16="http://schemas.microsoft.com/office/drawing/2014/main" id="{5743D839-A483-4270-8644-FB20368CECD0}"/>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0</xdr:row>
      <xdr:rowOff>0</xdr:rowOff>
    </xdr:from>
    <xdr:to>
      <xdr:col>10</xdr:col>
      <xdr:colOff>600075</xdr:colOff>
      <xdr:row>0</xdr:row>
      <xdr:rowOff>0</xdr:rowOff>
    </xdr:to>
    <xdr:sp macro="" textlink="">
      <xdr:nvSpPr>
        <xdr:cNvPr id="27" name="Line 48">
          <a:extLst>
            <a:ext uri="{FF2B5EF4-FFF2-40B4-BE49-F238E27FC236}">
              <a16:creationId xmlns:a16="http://schemas.microsoft.com/office/drawing/2014/main" id="{2D5E4C07-D088-4266-85DE-25EF1E0E17EE}"/>
            </a:ext>
          </a:extLst>
        </xdr:cNvPr>
        <xdr:cNvSpPr>
          <a:spLocks noChangeShapeType="1"/>
        </xdr:cNvSpPr>
      </xdr:nvSpPr>
      <xdr:spPr bwMode="auto">
        <a:xfrm flipV="1">
          <a:off x="7248525"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28" name="Line 49">
          <a:extLst>
            <a:ext uri="{FF2B5EF4-FFF2-40B4-BE49-F238E27FC236}">
              <a16:creationId xmlns:a16="http://schemas.microsoft.com/office/drawing/2014/main" id="{A62606F0-969E-45BD-AC1E-E9A4CCB0C054}"/>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29" name="Line 50">
          <a:extLst>
            <a:ext uri="{FF2B5EF4-FFF2-40B4-BE49-F238E27FC236}">
              <a16:creationId xmlns:a16="http://schemas.microsoft.com/office/drawing/2014/main" id="{95B5FDF9-BE44-4933-AFE2-8EED0CAA3475}"/>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638175</xdr:colOff>
      <xdr:row>0</xdr:row>
      <xdr:rowOff>0</xdr:rowOff>
    </xdr:to>
    <xdr:sp macro="" textlink="">
      <xdr:nvSpPr>
        <xdr:cNvPr id="30" name="Line 51">
          <a:extLst>
            <a:ext uri="{FF2B5EF4-FFF2-40B4-BE49-F238E27FC236}">
              <a16:creationId xmlns:a16="http://schemas.microsoft.com/office/drawing/2014/main" id="{ECC76538-10B8-4013-B9B3-12C9A0476A7E}"/>
            </a:ext>
          </a:extLst>
        </xdr:cNvPr>
        <xdr:cNvSpPr>
          <a:spLocks noChangeShapeType="1"/>
        </xdr:cNvSpPr>
      </xdr:nvSpPr>
      <xdr:spPr bwMode="auto">
        <a:xfrm flipV="1">
          <a:off x="72485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0</xdr:row>
      <xdr:rowOff>0</xdr:rowOff>
    </xdr:from>
    <xdr:to>
      <xdr:col>10</xdr:col>
      <xdr:colOff>581025</xdr:colOff>
      <xdr:row>0</xdr:row>
      <xdr:rowOff>0</xdr:rowOff>
    </xdr:to>
    <xdr:sp macro="" textlink="">
      <xdr:nvSpPr>
        <xdr:cNvPr id="31" name="Line 52">
          <a:extLst>
            <a:ext uri="{FF2B5EF4-FFF2-40B4-BE49-F238E27FC236}">
              <a16:creationId xmlns:a16="http://schemas.microsoft.com/office/drawing/2014/main" id="{12135449-4273-4A0E-B6B4-9A4597683EEA}"/>
            </a:ext>
          </a:extLst>
        </xdr:cNvPr>
        <xdr:cNvSpPr>
          <a:spLocks noChangeShapeType="1"/>
        </xdr:cNvSpPr>
      </xdr:nvSpPr>
      <xdr:spPr bwMode="auto">
        <a:xfrm flipV="1">
          <a:off x="6772275" y="0"/>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676275</xdr:colOff>
      <xdr:row>0</xdr:row>
      <xdr:rowOff>0</xdr:rowOff>
    </xdr:to>
    <xdr:sp macro="" textlink="">
      <xdr:nvSpPr>
        <xdr:cNvPr id="32" name="Line 53">
          <a:extLst>
            <a:ext uri="{FF2B5EF4-FFF2-40B4-BE49-F238E27FC236}">
              <a16:creationId xmlns:a16="http://schemas.microsoft.com/office/drawing/2014/main" id="{C02C3ED9-2A69-4F62-BDC8-21101D24EA5A}"/>
            </a:ext>
          </a:extLst>
        </xdr:cNvPr>
        <xdr:cNvSpPr>
          <a:spLocks noChangeShapeType="1"/>
        </xdr:cNvSpPr>
      </xdr:nvSpPr>
      <xdr:spPr bwMode="auto">
        <a:xfrm flipV="1">
          <a:off x="7248525" y="0"/>
          <a:ext cx="4248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xdr:colOff>
      <xdr:row>0</xdr:row>
      <xdr:rowOff>0</xdr:rowOff>
    </xdr:from>
    <xdr:to>
      <xdr:col>10</xdr:col>
      <xdr:colOff>676275</xdr:colOff>
      <xdr:row>0</xdr:row>
      <xdr:rowOff>0</xdr:rowOff>
    </xdr:to>
    <xdr:sp macro="" textlink="">
      <xdr:nvSpPr>
        <xdr:cNvPr id="33" name="Line 54">
          <a:extLst>
            <a:ext uri="{FF2B5EF4-FFF2-40B4-BE49-F238E27FC236}">
              <a16:creationId xmlns:a16="http://schemas.microsoft.com/office/drawing/2014/main" id="{B267BFB8-1A96-42AC-AEAA-489A3177EDC2}"/>
            </a:ext>
          </a:extLst>
        </xdr:cNvPr>
        <xdr:cNvSpPr>
          <a:spLocks noChangeShapeType="1"/>
        </xdr:cNvSpPr>
      </xdr:nvSpPr>
      <xdr:spPr bwMode="auto">
        <a:xfrm flipV="1">
          <a:off x="72866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542925</xdr:colOff>
      <xdr:row>0</xdr:row>
      <xdr:rowOff>0</xdr:rowOff>
    </xdr:from>
    <xdr:to>
      <xdr:col>10</xdr:col>
      <xdr:colOff>647700</xdr:colOff>
      <xdr:row>0</xdr:row>
      <xdr:rowOff>0</xdr:rowOff>
    </xdr:to>
    <xdr:sp macro="" textlink="">
      <xdr:nvSpPr>
        <xdr:cNvPr id="34" name="Line 55">
          <a:extLst>
            <a:ext uri="{FF2B5EF4-FFF2-40B4-BE49-F238E27FC236}">
              <a16:creationId xmlns:a16="http://schemas.microsoft.com/office/drawing/2014/main" id="{DE970656-A29D-4DC3-9065-9065DF5130F7}"/>
            </a:ext>
          </a:extLst>
        </xdr:cNvPr>
        <xdr:cNvSpPr>
          <a:spLocks noChangeShapeType="1"/>
        </xdr:cNvSpPr>
      </xdr:nvSpPr>
      <xdr:spPr bwMode="auto">
        <a:xfrm flipV="1">
          <a:off x="6734175" y="0"/>
          <a:ext cx="47339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35" name="Line 56">
          <a:extLst>
            <a:ext uri="{FF2B5EF4-FFF2-40B4-BE49-F238E27FC236}">
              <a16:creationId xmlns:a16="http://schemas.microsoft.com/office/drawing/2014/main" id="{445344D1-0E0B-43D3-97E9-F0DB949BD363}"/>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36" name="Line 57">
          <a:extLst>
            <a:ext uri="{FF2B5EF4-FFF2-40B4-BE49-F238E27FC236}">
              <a16:creationId xmlns:a16="http://schemas.microsoft.com/office/drawing/2014/main" id="{1F74696E-A162-40D9-B0B4-F4891E037D77}"/>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37" name="Line 58">
          <a:extLst>
            <a:ext uri="{FF2B5EF4-FFF2-40B4-BE49-F238E27FC236}">
              <a16:creationId xmlns:a16="http://schemas.microsoft.com/office/drawing/2014/main" id="{E27FE965-C0F6-4614-9D7E-3E4EA7D13702}"/>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38" name="Line 59">
          <a:extLst>
            <a:ext uri="{FF2B5EF4-FFF2-40B4-BE49-F238E27FC236}">
              <a16:creationId xmlns:a16="http://schemas.microsoft.com/office/drawing/2014/main" id="{F8155182-F852-497B-9021-E30F78AB713E}"/>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39" name="Line 60">
          <a:extLst>
            <a:ext uri="{FF2B5EF4-FFF2-40B4-BE49-F238E27FC236}">
              <a16:creationId xmlns:a16="http://schemas.microsoft.com/office/drawing/2014/main" id="{7CCFEBFB-A9ED-4CD2-B56F-12E125653891}"/>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66675</xdr:colOff>
      <xdr:row>16</xdr:row>
      <xdr:rowOff>114300</xdr:rowOff>
    </xdr:from>
    <xdr:to>
      <xdr:col>10</xdr:col>
      <xdr:colOff>552450</xdr:colOff>
      <xdr:row>21</xdr:row>
      <xdr:rowOff>76200</xdr:rowOff>
    </xdr:to>
    <xdr:sp macro="" textlink="">
      <xdr:nvSpPr>
        <xdr:cNvPr id="40" name="Line 61">
          <a:extLst>
            <a:ext uri="{FF2B5EF4-FFF2-40B4-BE49-F238E27FC236}">
              <a16:creationId xmlns:a16="http://schemas.microsoft.com/office/drawing/2014/main" id="{69077185-F6FC-4597-9DE1-BB55904419C2}"/>
            </a:ext>
          </a:extLst>
        </xdr:cNvPr>
        <xdr:cNvSpPr>
          <a:spLocks noChangeShapeType="1"/>
        </xdr:cNvSpPr>
      </xdr:nvSpPr>
      <xdr:spPr bwMode="auto">
        <a:xfrm flipV="1">
          <a:off x="7315200" y="1219200"/>
          <a:ext cx="40576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41" name="Line 63">
          <a:extLst>
            <a:ext uri="{FF2B5EF4-FFF2-40B4-BE49-F238E27FC236}">
              <a16:creationId xmlns:a16="http://schemas.microsoft.com/office/drawing/2014/main" id="{10457146-168A-4A69-9F98-1FAB9728B96F}"/>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42" name="Line 68">
          <a:extLst>
            <a:ext uri="{FF2B5EF4-FFF2-40B4-BE49-F238E27FC236}">
              <a16:creationId xmlns:a16="http://schemas.microsoft.com/office/drawing/2014/main" id="{EEC08835-F955-4662-99DF-D8B1DFED24E3}"/>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43" name="Line 69">
          <a:extLst>
            <a:ext uri="{FF2B5EF4-FFF2-40B4-BE49-F238E27FC236}">
              <a16:creationId xmlns:a16="http://schemas.microsoft.com/office/drawing/2014/main" id="{A856F664-5B0D-4D2F-9D4E-B5ED209D8B05}"/>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44" name="Line 70">
          <a:extLst>
            <a:ext uri="{FF2B5EF4-FFF2-40B4-BE49-F238E27FC236}">
              <a16:creationId xmlns:a16="http://schemas.microsoft.com/office/drawing/2014/main" id="{1F987C45-6CBF-42E2-90AA-081CD09F5210}"/>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45" name="Line 71">
          <a:extLst>
            <a:ext uri="{FF2B5EF4-FFF2-40B4-BE49-F238E27FC236}">
              <a16:creationId xmlns:a16="http://schemas.microsoft.com/office/drawing/2014/main" id="{36560DD3-41FE-4316-B72B-5ABB04AFDFB1}"/>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46" name="Line 72">
          <a:extLst>
            <a:ext uri="{FF2B5EF4-FFF2-40B4-BE49-F238E27FC236}">
              <a16:creationId xmlns:a16="http://schemas.microsoft.com/office/drawing/2014/main" id="{52298834-208D-4EE7-9074-4C577FFE3C22}"/>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504825</xdr:colOff>
      <xdr:row>60</xdr:row>
      <xdr:rowOff>57150</xdr:rowOff>
    </xdr:from>
    <xdr:to>
      <xdr:col>8</xdr:col>
      <xdr:colOff>400050</xdr:colOff>
      <xdr:row>61</xdr:row>
      <xdr:rowOff>47625</xdr:rowOff>
    </xdr:to>
    <xdr:sp macro="" textlink="">
      <xdr:nvSpPr>
        <xdr:cNvPr id="47" name="Line 74">
          <a:extLst>
            <a:ext uri="{FF2B5EF4-FFF2-40B4-BE49-F238E27FC236}">
              <a16:creationId xmlns:a16="http://schemas.microsoft.com/office/drawing/2014/main" id="{49908690-9F12-47C5-8583-C0F1DBA2E978}"/>
            </a:ext>
          </a:extLst>
        </xdr:cNvPr>
        <xdr:cNvSpPr>
          <a:spLocks noChangeShapeType="1"/>
        </xdr:cNvSpPr>
      </xdr:nvSpPr>
      <xdr:spPr bwMode="auto">
        <a:xfrm flipV="1">
          <a:off x="4857750" y="1219200"/>
          <a:ext cx="39433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0</xdr:row>
      <xdr:rowOff>0</xdr:rowOff>
    </xdr:from>
    <xdr:to>
      <xdr:col>10</xdr:col>
      <xdr:colOff>600075</xdr:colOff>
      <xdr:row>0</xdr:row>
      <xdr:rowOff>0</xdr:rowOff>
    </xdr:to>
    <xdr:sp macro="" textlink="">
      <xdr:nvSpPr>
        <xdr:cNvPr id="48" name="Line 76">
          <a:extLst>
            <a:ext uri="{FF2B5EF4-FFF2-40B4-BE49-F238E27FC236}">
              <a16:creationId xmlns:a16="http://schemas.microsoft.com/office/drawing/2014/main" id="{016B5432-31F7-491E-8666-C279B95A2070}"/>
            </a:ext>
          </a:extLst>
        </xdr:cNvPr>
        <xdr:cNvSpPr>
          <a:spLocks noChangeShapeType="1"/>
        </xdr:cNvSpPr>
      </xdr:nvSpPr>
      <xdr:spPr bwMode="auto">
        <a:xfrm flipV="1">
          <a:off x="7248525"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49" name="Line 77">
          <a:extLst>
            <a:ext uri="{FF2B5EF4-FFF2-40B4-BE49-F238E27FC236}">
              <a16:creationId xmlns:a16="http://schemas.microsoft.com/office/drawing/2014/main" id="{F23217A9-AF60-4A37-A30B-48B84527CF36}"/>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0</xdr:row>
      <xdr:rowOff>0</xdr:rowOff>
    </xdr:from>
    <xdr:to>
      <xdr:col>10</xdr:col>
      <xdr:colOff>609600</xdr:colOff>
      <xdr:row>0</xdr:row>
      <xdr:rowOff>0</xdr:rowOff>
    </xdr:to>
    <xdr:sp macro="" textlink="">
      <xdr:nvSpPr>
        <xdr:cNvPr id="50" name="Line 78">
          <a:extLst>
            <a:ext uri="{FF2B5EF4-FFF2-40B4-BE49-F238E27FC236}">
              <a16:creationId xmlns:a16="http://schemas.microsoft.com/office/drawing/2014/main" id="{9069C18F-619E-4B16-A3E4-84A1E3736A1B}"/>
            </a:ext>
          </a:extLst>
        </xdr:cNvPr>
        <xdr:cNvSpPr>
          <a:spLocks noChangeShapeType="1"/>
        </xdr:cNvSpPr>
      </xdr:nvSpPr>
      <xdr:spPr bwMode="auto">
        <a:xfrm flipV="1">
          <a:off x="7258050" y="0"/>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638175</xdr:colOff>
      <xdr:row>0</xdr:row>
      <xdr:rowOff>0</xdr:rowOff>
    </xdr:to>
    <xdr:sp macro="" textlink="">
      <xdr:nvSpPr>
        <xdr:cNvPr id="51" name="Line 79">
          <a:extLst>
            <a:ext uri="{FF2B5EF4-FFF2-40B4-BE49-F238E27FC236}">
              <a16:creationId xmlns:a16="http://schemas.microsoft.com/office/drawing/2014/main" id="{2A79B078-8DD4-4F16-9C0C-6E3DA3A714F2}"/>
            </a:ext>
          </a:extLst>
        </xdr:cNvPr>
        <xdr:cNvSpPr>
          <a:spLocks noChangeShapeType="1"/>
        </xdr:cNvSpPr>
      </xdr:nvSpPr>
      <xdr:spPr bwMode="auto">
        <a:xfrm flipV="1">
          <a:off x="72485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0</xdr:row>
      <xdr:rowOff>0</xdr:rowOff>
    </xdr:from>
    <xdr:to>
      <xdr:col>10</xdr:col>
      <xdr:colOff>581025</xdr:colOff>
      <xdr:row>0</xdr:row>
      <xdr:rowOff>0</xdr:rowOff>
    </xdr:to>
    <xdr:sp macro="" textlink="">
      <xdr:nvSpPr>
        <xdr:cNvPr id="52" name="Line 80">
          <a:extLst>
            <a:ext uri="{FF2B5EF4-FFF2-40B4-BE49-F238E27FC236}">
              <a16:creationId xmlns:a16="http://schemas.microsoft.com/office/drawing/2014/main" id="{84E92F12-9C68-4E9B-A6AD-4932BCF53B60}"/>
            </a:ext>
          </a:extLst>
        </xdr:cNvPr>
        <xdr:cNvSpPr>
          <a:spLocks noChangeShapeType="1"/>
        </xdr:cNvSpPr>
      </xdr:nvSpPr>
      <xdr:spPr bwMode="auto">
        <a:xfrm flipV="1">
          <a:off x="6772275" y="0"/>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0</xdr:row>
      <xdr:rowOff>0</xdr:rowOff>
    </xdr:from>
    <xdr:to>
      <xdr:col>10</xdr:col>
      <xdr:colOff>676275</xdr:colOff>
      <xdr:row>0</xdr:row>
      <xdr:rowOff>0</xdr:rowOff>
    </xdr:to>
    <xdr:sp macro="" textlink="">
      <xdr:nvSpPr>
        <xdr:cNvPr id="53" name="Line 81">
          <a:extLst>
            <a:ext uri="{FF2B5EF4-FFF2-40B4-BE49-F238E27FC236}">
              <a16:creationId xmlns:a16="http://schemas.microsoft.com/office/drawing/2014/main" id="{1D3D33A5-6F33-4591-98CC-363633D174EA}"/>
            </a:ext>
          </a:extLst>
        </xdr:cNvPr>
        <xdr:cNvSpPr>
          <a:spLocks noChangeShapeType="1"/>
        </xdr:cNvSpPr>
      </xdr:nvSpPr>
      <xdr:spPr bwMode="auto">
        <a:xfrm flipV="1">
          <a:off x="7248525" y="0"/>
          <a:ext cx="4248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xdr:colOff>
      <xdr:row>0</xdr:row>
      <xdr:rowOff>0</xdr:rowOff>
    </xdr:from>
    <xdr:to>
      <xdr:col>10</xdr:col>
      <xdr:colOff>676275</xdr:colOff>
      <xdr:row>0</xdr:row>
      <xdr:rowOff>0</xdr:rowOff>
    </xdr:to>
    <xdr:sp macro="" textlink="">
      <xdr:nvSpPr>
        <xdr:cNvPr id="54" name="Line 82">
          <a:extLst>
            <a:ext uri="{FF2B5EF4-FFF2-40B4-BE49-F238E27FC236}">
              <a16:creationId xmlns:a16="http://schemas.microsoft.com/office/drawing/2014/main" id="{CDCF9E85-730C-4EDD-A339-28DC7A86C74C}"/>
            </a:ext>
          </a:extLst>
        </xdr:cNvPr>
        <xdr:cNvSpPr>
          <a:spLocks noChangeShapeType="1"/>
        </xdr:cNvSpPr>
      </xdr:nvSpPr>
      <xdr:spPr bwMode="auto">
        <a:xfrm flipV="1">
          <a:off x="7286625" y="0"/>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542925</xdr:colOff>
      <xdr:row>0</xdr:row>
      <xdr:rowOff>0</xdr:rowOff>
    </xdr:from>
    <xdr:to>
      <xdr:col>10</xdr:col>
      <xdr:colOff>647700</xdr:colOff>
      <xdr:row>0</xdr:row>
      <xdr:rowOff>0</xdr:rowOff>
    </xdr:to>
    <xdr:sp macro="" textlink="">
      <xdr:nvSpPr>
        <xdr:cNvPr id="55" name="Line 83">
          <a:extLst>
            <a:ext uri="{FF2B5EF4-FFF2-40B4-BE49-F238E27FC236}">
              <a16:creationId xmlns:a16="http://schemas.microsoft.com/office/drawing/2014/main" id="{199C6DE4-1826-42E8-A470-2E6AFBEC4A04}"/>
            </a:ext>
          </a:extLst>
        </xdr:cNvPr>
        <xdr:cNvSpPr>
          <a:spLocks noChangeShapeType="1"/>
        </xdr:cNvSpPr>
      </xdr:nvSpPr>
      <xdr:spPr bwMode="auto">
        <a:xfrm flipV="1">
          <a:off x="6734175" y="0"/>
          <a:ext cx="4733925"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56" name="Line 84">
          <a:extLst>
            <a:ext uri="{FF2B5EF4-FFF2-40B4-BE49-F238E27FC236}">
              <a16:creationId xmlns:a16="http://schemas.microsoft.com/office/drawing/2014/main" id="{C7F19A66-0670-483E-9A89-D7C8C3849BC0}"/>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57" name="Line 85">
          <a:extLst>
            <a:ext uri="{FF2B5EF4-FFF2-40B4-BE49-F238E27FC236}">
              <a16:creationId xmlns:a16="http://schemas.microsoft.com/office/drawing/2014/main" id="{C86AC11F-FF3A-4E1B-B0CD-8813240BD14F}"/>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9525</xdr:colOff>
      <xdr:row>6</xdr:row>
      <xdr:rowOff>0</xdr:rowOff>
    </xdr:from>
    <xdr:to>
      <xdr:col>10</xdr:col>
      <xdr:colOff>609600</xdr:colOff>
      <xdr:row>6</xdr:row>
      <xdr:rowOff>0</xdr:rowOff>
    </xdr:to>
    <xdr:sp macro="" textlink="">
      <xdr:nvSpPr>
        <xdr:cNvPr id="58" name="Line 86">
          <a:extLst>
            <a:ext uri="{FF2B5EF4-FFF2-40B4-BE49-F238E27FC236}">
              <a16:creationId xmlns:a16="http://schemas.microsoft.com/office/drawing/2014/main" id="{310CDD6E-54A1-40BD-B5A8-A78F24C1E5DF}"/>
            </a:ext>
          </a:extLst>
        </xdr:cNvPr>
        <xdr:cNvSpPr>
          <a:spLocks noChangeShapeType="1"/>
        </xdr:cNvSpPr>
      </xdr:nvSpPr>
      <xdr:spPr bwMode="auto">
        <a:xfrm flipV="1">
          <a:off x="7258050"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0</xdr:colOff>
      <xdr:row>6</xdr:row>
      <xdr:rowOff>0</xdr:rowOff>
    </xdr:from>
    <xdr:to>
      <xdr:col>10</xdr:col>
      <xdr:colOff>638175</xdr:colOff>
      <xdr:row>6</xdr:row>
      <xdr:rowOff>0</xdr:rowOff>
    </xdr:to>
    <xdr:sp macro="" textlink="">
      <xdr:nvSpPr>
        <xdr:cNvPr id="59" name="Line 87">
          <a:extLst>
            <a:ext uri="{FF2B5EF4-FFF2-40B4-BE49-F238E27FC236}">
              <a16:creationId xmlns:a16="http://schemas.microsoft.com/office/drawing/2014/main" id="{7DD2A704-953D-4EF4-9CC2-53EF77D1F55B}"/>
            </a:ext>
          </a:extLst>
        </xdr:cNvPr>
        <xdr:cNvSpPr>
          <a:spLocks noChangeShapeType="1"/>
        </xdr:cNvSpPr>
      </xdr:nvSpPr>
      <xdr:spPr bwMode="auto">
        <a:xfrm flipV="1">
          <a:off x="7248525" y="1057275"/>
          <a:ext cx="42100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581025</xdr:colOff>
      <xdr:row>6</xdr:row>
      <xdr:rowOff>0</xdr:rowOff>
    </xdr:from>
    <xdr:to>
      <xdr:col>10</xdr:col>
      <xdr:colOff>581025</xdr:colOff>
      <xdr:row>6</xdr:row>
      <xdr:rowOff>0</xdr:rowOff>
    </xdr:to>
    <xdr:sp macro="" textlink="">
      <xdr:nvSpPr>
        <xdr:cNvPr id="60" name="Line 88">
          <a:extLst>
            <a:ext uri="{FF2B5EF4-FFF2-40B4-BE49-F238E27FC236}">
              <a16:creationId xmlns:a16="http://schemas.microsoft.com/office/drawing/2014/main" id="{631D5020-D8FC-4CBE-8226-D9622300B397}"/>
            </a:ext>
          </a:extLst>
        </xdr:cNvPr>
        <xdr:cNvSpPr>
          <a:spLocks noChangeShapeType="1"/>
        </xdr:cNvSpPr>
      </xdr:nvSpPr>
      <xdr:spPr bwMode="auto">
        <a:xfrm flipV="1">
          <a:off x="6772275" y="1057275"/>
          <a:ext cx="46291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66675</xdr:colOff>
      <xdr:row>16</xdr:row>
      <xdr:rowOff>114300</xdr:rowOff>
    </xdr:from>
    <xdr:to>
      <xdr:col>10</xdr:col>
      <xdr:colOff>552450</xdr:colOff>
      <xdr:row>21</xdr:row>
      <xdr:rowOff>76200</xdr:rowOff>
    </xdr:to>
    <xdr:sp macro="" textlink="">
      <xdr:nvSpPr>
        <xdr:cNvPr id="61" name="Line 89">
          <a:extLst>
            <a:ext uri="{FF2B5EF4-FFF2-40B4-BE49-F238E27FC236}">
              <a16:creationId xmlns:a16="http://schemas.microsoft.com/office/drawing/2014/main" id="{493CCB46-3987-476A-B8B1-C29AC740E005}"/>
            </a:ext>
          </a:extLst>
        </xdr:cNvPr>
        <xdr:cNvSpPr>
          <a:spLocks noChangeShapeType="1"/>
        </xdr:cNvSpPr>
      </xdr:nvSpPr>
      <xdr:spPr bwMode="auto">
        <a:xfrm flipV="1">
          <a:off x="7315200" y="1219200"/>
          <a:ext cx="40576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1066800</xdr:colOff>
      <xdr:row>6</xdr:row>
      <xdr:rowOff>0</xdr:rowOff>
    </xdr:from>
    <xdr:to>
      <xdr:col>10</xdr:col>
      <xdr:colOff>600075</xdr:colOff>
      <xdr:row>6</xdr:row>
      <xdr:rowOff>0</xdr:rowOff>
    </xdr:to>
    <xdr:sp macro="" textlink="">
      <xdr:nvSpPr>
        <xdr:cNvPr id="62" name="Line 91">
          <a:extLst>
            <a:ext uri="{FF2B5EF4-FFF2-40B4-BE49-F238E27FC236}">
              <a16:creationId xmlns:a16="http://schemas.microsoft.com/office/drawing/2014/main" id="{2500183D-417E-4C54-A4B2-97817615631F}"/>
            </a:ext>
          </a:extLst>
        </xdr:cNvPr>
        <xdr:cNvSpPr>
          <a:spLocks noChangeShapeType="1"/>
        </xdr:cNvSpPr>
      </xdr:nvSpPr>
      <xdr:spPr bwMode="auto">
        <a:xfrm flipV="1">
          <a:off x="7248525" y="1057275"/>
          <a:ext cx="4171950" cy="0"/>
        </a:xfrm>
        <a:prstGeom prst="line">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young\AppData\Roaming\OpenText\OTEdit\EC__capec\c27095\cap_water_forecast.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022-2023%20Budget/2022%202023%20cap_water_forecast%20June%2024%20202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rward%20Energy%20Purchases/2022&amp;%202023%20Budget%20for%20Energy/Copy%20of%202022_2023%20Power_Transmission%20Bu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7"/>
      <sheetName val="2018"/>
      <sheetName val="2019"/>
      <sheetName val="2020 T0"/>
      <sheetName val="2021 T0"/>
      <sheetName val="2022 T1"/>
      <sheetName val="Lake Pleasant Forecast"/>
      <sheetName val="12_MTH_FC"/>
      <sheetName val="Log Sheet"/>
      <sheetName val="2022 T1 (2021 FC)"/>
      <sheetName val="2023 T1 (2021 FC)"/>
      <sheetName val="2023 T2a (2021 FC)"/>
      <sheetName val="2021 T0 (2020 FC)"/>
      <sheetName val="2022 T0 (2020 FC)"/>
      <sheetName val="B"/>
      <sheetName val="2016"/>
      <sheetName val="2015"/>
      <sheetName val="2014"/>
      <sheetName val="2013"/>
      <sheetName val="2012"/>
      <sheetName val="2011"/>
      <sheetName val="2010"/>
      <sheetName val="2009"/>
      <sheetName val="2008"/>
      <sheetName val="SYS CAP"/>
      <sheetName val="Delivery Comparisons"/>
    </sheetNames>
    <sheetDataSet>
      <sheetData sheetId="0"/>
      <sheetData sheetId="1"/>
      <sheetData sheetId="2"/>
      <sheetData sheetId="3">
        <row r="10">
          <cell r="C10">
            <v>29</v>
          </cell>
          <cell r="D10">
            <v>31</v>
          </cell>
          <cell r="F10">
            <v>30</v>
          </cell>
          <cell r="G10">
            <v>31</v>
          </cell>
          <cell r="H10">
            <v>30</v>
          </cell>
          <cell r="J10">
            <v>31</v>
          </cell>
          <cell r="K10">
            <v>31</v>
          </cell>
          <cell r="L10">
            <v>30</v>
          </cell>
          <cell r="N10">
            <v>31</v>
          </cell>
          <cell r="O10">
            <v>30</v>
          </cell>
          <cell r="P10">
            <v>31</v>
          </cell>
        </row>
        <row r="328">
          <cell r="C328">
            <v>25695</v>
          </cell>
          <cell r="D328">
            <v>47415</v>
          </cell>
          <cell r="F328">
            <v>41096</v>
          </cell>
          <cell r="G328">
            <v>57826</v>
          </cell>
          <cell r="H328">
            <v>47319</v>
          </cell>
          <cell r="J328">
            <v>45428</v>
          </cell>
          <cell r="K328">
            <v>47401</v>
          </cell>
          <cell r="L328">
            <v>72671</v>
          </cell>
          <cell r="N328">
            <v>98873</v>
          </cell>
          <cell r="O328">
            <v>93661</v>
          </cell>
          <cell r="P328">
            <v>99625</v>
          </cell>
        </row>
        <row r="329">
          <cell r="C329">
            <v>446.81517032709058</v>
          </cell>
          <cell r="D329">
            <v>771.31423551803221</v>
          </cell>
          <cell r="F329">
            <v>690.80517734072941</v>
          </cell>
          <cell r="G329">
            <v>940.67314105379592</v>
          </cell>
          <cell r="H329">
            <v>795.4109934442763</v>
          </cell>
          <cell r="J329">
            <v>738.99110178452327</v>
          </cell>
          <cell r="K329">
            <v>771.08649325720228</v>
          </cell>
          <cell r="L329">
            <v>1221.5666498571188</v>
          </cell>
          <cell r="N329">
            <v>1608.3971825028873</v>
          </cell>
          <cell r="O329">
            <v>1574.3990586653217</v>
          </cell>
          <cell r="P329">
            <v>1620.6301953703251</v>
          </cell>
        </row>
      </sheetData>
      <sheetData sheetId="4"/>
      <sheetData sheetId="5"/>
      <sheetData sheetId="6"/>
      <sheetData sheetId="7"/>
      <sheetData sheetId="8"/>
      <sheetData sheetId="9"/>
      <sheetData sheetId="10"/>
      <sheetData sheetId="11"/>
      <sheetData sheetId="12">
        <row r="10">
          <cell r="B10">
            <v>31</v>
          </cell>
          <cell r="C10">
            <v>28</v>
          </cell>
          <cell r="D10">
            <v>31</v>
          </cell>
          <cell r="F10">
            <v>30</v>
          </cell>
          <cell r="G10">
            <v>31</v>
          </cell>
          <cell r="H10">
            <v>30</v>
          </cell>
          <cell r="J10">
            <v>31</v>
          </cell>
          <cell r="K10">
            <v>31</v>
          </cell>
          <cell r="L10">
            <v>30</v>
          </cell>
          <cell r="N10">
            <v>31</v>
          </cell>
          <cell r="O10">
            <v>30</v>
          </cell>
          <cell r="P10">
            <v>31</v>
          </cell>
        </row>
        <row r="225">
          <cell r="B225">
            <v>349</v>
          </cell>
          <cell r="C225">
            <v>317</v>
          </cell>
          <cell r="D225">
            <v>379</v>
          </cell>
          <cell r="F225">
            <v>446</v>
          </cell>
          <cell r="G225">
            <v>587</v>
          </cell>
          <cell r="H225">
            <v>659</v>
          </cell>
          <cell r="J225">
            <v>640</v>
          </cell>
          <cell r="K225">
            <v>592</v>
          </cell>
          <cell r="L225">
            <v>510</v>
          </cell>
          <cell r="N225">
            <v>535</v>
          </cell>
          <cell r="O225">
            <v>406</v>
          </cell>
          <cell r="P225">
            <v>319</v>
          </cell>
        </row>
        <row r="323">
          <cell r="B323">
            <v>876.07567549981286</v>
          </cell>
          <cell r="C323">
            <v>1132.6633527843815</v>
          </cell>
          <cell r="D323">
            <v>1427.8626388821108</v>
          </cell>
          <cell r="F323">
            <v>2256.8498907379389</v>
          </cell>
          <cell r="G323">
            <v>2266.9789989100905</v>
          </cell>
          <cell r="H323">
            <v>3094.4360396705329</v>
          </cell>
          <cell r="J323">
            <v>2422.6571014917117</v>
          </cell>
          <cell r="K323">
            <v>2195.8258097050734</v>
          </cell>
          <cell r="L323">
            <v>1605.1941502773575</v>
          </cell>
          <cell r="N323">
            <v>1249.0361622175587</v>
          </cell>
          <cell r="O323">
            <v>950.76483442595395</v>
          </cell>
          <cell r="P323">
            <v>692.22260179265686</v>
          </cell>
        </row>
        <row r="324">
          <cell r="B324">
            <v>3568</v>
          </cell>
          <cell r="C324">
            <v>3222</v>
          </cell>
          <cell r="D324">
            <v>2378</v>
          </cell>
          <cell r="F324">
            <v>2302</v>
          </cell>
          <cell r="G324">
            <v>2378</v>
          </cell>
          <cell r="H324">
            <v>2302</v>
          </cell>
          <cell r="J324">
            <v>2474</v>
          </cell>
          <cell r="K324">
            <v>2474</v>
          </cell>
          <cell r="L324">
            <v>2394</v>
          </cell>
          <cell r="N324">
            <v>2474</v>
          </cell>
          <cell r="O324">
            <v>2394</v>
          </cell>
          <cell r="P324">
            <v>2474</v>
          </cell>
        </row>
      </sheetData>
      <sheetData sheetId="13">
        <row r="10">
          <cell r="B10">
            <v>31</v>
          </cell>
          <cell r="C10">
            <v>28</v>
          </cell>
          <cell r="D10">
            <v>31</v>
          </cell>
        </row>
        <row r="228">
          <cell r="B228">
            <v>359</v>
          </cell>
          <cell r="C228">
            <v>326</v>
          </cell>
          <cell r="D228">
            <v>390</v>
          </cell>
        </row>
        <row r="326">
          <cell r="B326">
            <v>1007.4666926943535</v>
          </cell>
          <cell r="C326">
            <v>1324.7244434838988</v>
          </cell>
          <cell r="D326">
            <v>1662.1280887544124</v>
          </cell>
        </row>
        <row r="327">
          <cell r="B327">
            <v>3568</v>
          </cell>
          <cell r="C327">
            <v>3222</v>
          </cell>
          <cell r="D327">
            <v>2378</v>
          </cell>
        </row>
      </sheetData>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7"/>
      <sheetName val="2018"/>
      <sheetName val="2019"/>
      <sheetName val="2020 T0"/>
      <sheetName val="2021 T0"/>
      <sheetName val="Lake Pleasant Forecast"/>
      <sheetName val="12_MTH_FC"/>
      <sheetName val="Log Sheet"/>
      <sheetName val="2022 T1 (2021 FC)"/>
      <sheetName val="2023 T1 (2021 FC)"/>
      <sheetName val="2023 T2a (2021 FC)"/>
      <sheetName val="2021 T0 (2020 FC)"/>
      <sheetName val="2022 T0 (2020 FC)"/>
      <sheetName val="B"/>
      <sheetName val="2016"/>
      <sheetName val="2015"/>
      <sheetName val="2014"/>
      <sheetName val="2013"/>
      <sheetName val="2012"/>
      <sheetName val="2011"/>
      <sheetName val="2010"/>
      <sheetName val="2009"/>
      <sheetName val="2008"/>
      <sheetName val="SYS CAP"/>
      <sheetName val="Delivery Comparisons"/>
    </sheetNames>
    <sheetDataSet>
      <sheetData sheetId="0" refreshError="1"/>
      <sheetData sheetId="1" refreshError="1"/>
      <sheetData sheetId="2" refreshError="1"/>
      <sheetData sheetId="3" refreshError="1"/>
      <sheetData sheetId="4" refreshError="1"/>
      <sheetData sheetId="5">
        <row r="45">
          <cell r="R45">
            <v>509991.68314103631</v>
          </cell>
        </row>
        <row r="47">
          <cell r="R47">
            <v>371976.5499741105</v>
          </cell>
        </row>
        <row r="49">
          <cell r="R49">
            <v>270715.19712661213</v>
          </cell>
        </row>
        <row r="51">
          <cell r="R51">
            <v>282875.24867082416</v>
          </cell>
        </row>
        <row r="53">
          <cell r="R53">
            <v>346468.18958938366</v>
          </cell>
        </row>
        <row r="55">
          <cell r="R55">
            <v>430241.80374652677</v>
          </cell>
        </row>
        <row r="131">
          <cell r="R131">
            <v>457487.10823838081</v>
          </cell>
        </row>
        <row r="133">
          <cell r="R133">
            <v>511045.1214393772</v>
          </cell>
        </row>
        <row r="135">
          <cell r="R135">
            <v>538325.75393127184</v>
          </cell>
        </row>
        <row r="137">
          <cell r="R137">
            <v>546580.28379617678</v>
          </cell>
        </row>
        <row r="139">
          <cell r="R139">
            <v>531982.6906786816</v>
          </cell>
        </row>
        <row r="141">
          <cell r="R141">
            <v>447002.73646268022</v>
          </cell>
        </row>
        <row r="143">
          <cell r="R143">
            <v>329296.36720308178</v>
          </cell>
        </row>
        <row r="145">
          <cell r="R145">
            <v>246452.86138219084</v>
          </cell>
        </row>
        <row r="147">
          <cell r="R147">
            <v>245295.10576695239</v>
          </cell>
        </row>
        <row r="149">
          <cell r="R149">
            <v>285692.3668760822</v>
          </cell>
        </row>
        <row r="151">
          <cell r="R151">
            <v>359085.53696212394</v>
          </cell>
        </row>
        <row r="153">
          <cell r="R153">
            <v>408093.38046321122</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FP_Power&amp;Transmission Budget"/>
      <sheetName val="L&amp;R Energy Budget"/>
      <sheetName val="Hoover"/>
      <sheetName val="Lake Pleasant Rolling Schedule"/>
      <sheetName val="Lake Roosevelt Rolling Schedule"/>
      <sheetName val="Energy Scheduling Svcs"/>
      <sheetName val="Transmission"/>
      <sheetName val="Energy 2019-2023"/>
      <sheetName val="CAP System MWH per AF"/>
    </sheetNames>
    <sheetDataSet>
      <sheetData sheetId="0" refreshError="1"/>
      <sheetData sheetId="1" refreshError="1"/>
      <sheetData sheetId="2" refreshError="1"/>
      <sheetData sheetId="3"/>
      <sheetData sheetId="4" refreshError="1"/>
      <sheetData sheetId="5" refreshError="1"/>
      <sheetData sheetId="6" refreshError="1"/>
      <sheetData sheetId="7">
        <row r="23">
          <cell r="G23">
            <v>28.734927735875676</v>
          </cell>
          <cell r="H23">
            <v>32.081012814036235</v>
          </cell>
        </row>
      </sheetData>
      <sheetData sheetId="8">
        <row r="18">
          <cell r="H18">
            <v>1.8838752347038836</v>
          </cell>
        </row>
        <row r="48">
          <cell r="H48">
            <v>1.8204374789822564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698"/>
  <sheetViews>
    <sheetView topLeftCell="AM38" zoomScaleNormal="100" workbookViewId="0">
      <selection activeCell="L43" sqref="L43"/>
    </sheetView>
  </sheetViews>
  <sheetFormatPr defaultRowHeight="14.4" x14ac:dyDescent="0.3"/>
  <cols>
    <col min="1" max="1" width="14.109375" customWidth="1"/>
    <col min="2" max="5" width="10.6640625" customWidth="1"/>
    <col min="6" max="6" width="12.6640625" customWidth="1"/>
    <col min="7" max="7" width="13" customWidth="1"/>
    <col min="8" max="8" width="13.33203125" customWidth="1"/>
    <col min="9" max="9" width="12.5546875" customWidth="1"/>
    <col min="10" max="10" width="13.44140625" customWidth="1"/>
    <col min="11" max="11" width="12.6640625" customWidth="1"/>
    <col min="12" max="12" width="14" customWidth="1"/>
    <col min="13" max="13" width="13.44140625" customWidth="1"/>
    <col min="14" max="14" width="13.33203125" customWidth="1"/>
    <col min="15" max="19" width="13.33203125" style="92" customWidth="1"/>
    <col min="20" max="20" width="13.33203125" style="92" hidden="1" customWidth="1"/>
    <col min="21" max="21" width="13.6640625" customWidth="1"/>
    <col min="22" max="22" width="15.109375" customWidth="1"/>
    <col min="23" max="23" width="15" customWidth="1"/>
    <col min="24" max="24" width="15.33203125" customWidth="1"/>
    <col min="25" max="25" width="12.88671875" customWidth="1"/>
    <col min="26" max="26" width="13.6640625" customWidth="1"/>
    <col min="27" max="27" width="13.5546875" customWidth="1"/>
    <col min="28" max="28" width="16.109375" customWidth="1"/>
    <col min="29" max="29" width="12.33203125" customWidth="1"/>
    <col min="30" max="30" width="13.5546875" customWidth="1"/>
    <col min="31" max="31" width="13.44140625" customWidth="1"/>
    <col min="32" max="32" width="12.5546875" customWidth="1"/>
    <col min="33" max="33" width="10.5546875" customWidth="1"/>
    <col min="34" max="34" width="15" bestFit="1" customWidth="1"/>
    <col min="35" max="35" width="11.88671875" customWidth="1"/>
    <col min="36" max="51" width="12.6640625" customWidth="1"/>
    <col min="53" max="53" width="9.6640625" customWidth="1"/>
    <col min="54" max="54" width="14.6640625" customWidth="1"/>
  </cols>
  <sheetData>
    <row r="1" spans="1:59" s="92" customFormat="1" x14ac:dyDescent="0.3">
      <c r="AN1" s="113" t="s">
        <v>215</v>
      </c>
    </row>
    <row r="2" spans="1:59" ht="15" thickBot="1" x14ac:dyDescent="0.35">
      <c r="A2" s="2" t="s">
        <v>48</v>
      </c>
      <c r="F2" s="87"/>
      <c r="I2" s="37" t="s">
        <v>213</v>
      </c>
      <c r="S2" s="37" t="s">
        <v>377</v>
      </c>
      <c r="U2" s="37" t="s">
        <v>237</v>
      </c>
      <c r="X2" s="91" t="s">
        <v>0</v>
      </c>
      <c r="Z2" s="481" t="s">
        <v>1</v>
      </c>
      <c r="AA2" s="483"/>
      <c r="AB2" s="482"/>
      <c r="AC2" s="1" t="s">
        <v>75</v>
      </c>
      <c r="AE2" s="2" t="s">
        <v>48</v>
      </c>
      <c r="AF2" s="92"/>
      <c r="AG2" s="92"/>
      <c r="AH2" s="92"/>
      <c r="AI2" s="92"/>
      <c r="AJ2" s="92"/>
      <c r="AK2" s="92"/>
      <c r="AL2" s="92"/>
      <c r="AM2" s="37" t="s">
        <v>214</v>
      </c>
      <c r="AN2" s="322">
        <v>6</v>
      </c>
      <c r="AO2" s="313"/>
      <c r="AP2" s="313"/>
      <c r="AQ2" s="313"/>
      <c r="AR2" s="313"/>
      <c r="AS2" s="313"/>
      <c r="AT2" s="313"/>
      <c r="AU2" s="313"/>
      <c r="AV2" s="313"/>
      <c r="AW2" s="313"/>
      <c r="AX2" s="313"/>
      <c r="AY2" s="37" t="s">
        <v>237</v>
      </c>
      <c r="AZ2" s="92"/>
      <c r="BA2" s="92"/>
      <c r="BB2" s="112" t="s">
        <v>0</v>
      </c>
      <c r="BC2" s="92"/>
      <c r="BD2" s="481" t="s">
        <v>1</v>
      </c>
      <c r="BE2" s="483"/>
      <c r="BF2" s="482"/>
      <c r="BG2" s="1" t="s">
        <v>75</v>
      </c>
    </row>
    <row r="3" spans="1:59" x14ac:dyDescent="0.3">
      <c r="F3" s="87" t="s">
        <v>415</v>
      </c>
      <c r="I3" s="73" t="s">
        <v>50</v>
      </c>
      <c r="J3" s="74" t="s">
        <v>2</v>
      </c>
      <c r="K3" s="74" t="s">
        <v>2</v>
      </c>
      <c r="L3" s="74" t="s">
        <v>226</v>
      </c>
      <c r="M3" s="74" t="s">
        <v>226</v>
      </c>
      <c r="N3" s="74" t="s">
        <v>224</v>
      </c>
      <c r="O3" s="104"/>
      <c r="P3" s="104"/>
      <c r="Q3" s="104"/>
      <c r="R3" s="104"/>
      <c r="S3" s="104"/>
      <c r="T3" s="104"/>
      <c r="U3" s="105" t="s">
        <v>2</v>
      </c>
      <c r="V3" s="92"/>
      <c r="X3" s="3" t="s">
        <v>4</v>
      </c>
      <c r="Z3" s="3" t="s">
        <v>4</v>
      </c>
      <c r="AA3" s="4" t="s">
        <v>4</v>
      </c>
      <c r="AB3" s="5" t="s">
        <v>4</v>
      </c>
      <c r="AC3" s="5" t="s">
        <v>6</v>
      </c>
      <c r="AE3" s="92"/>
      <c r="AF3" s="92"/>
      <c r="AG3" s="92"/>
      <c r="AH3" s="92"/>
      <c r="AI3" s="92"/>
      <c r="AJ3" s="92"/>
      <c r="AK3" s="92"/>
      <c r="AL3" s="92"/>
      <c r="AM3" s="73" t="s">
        <v>50</v>
      </c>
      <c r="AN3" s="74" t="s">
        <v>2</v>
      </c>
      <c r="AO3" s="74" t="s">
        <v>2</v>
      </c>
      <c r="AP3" s="74" t="s">
        <v>226</v>
      </c>
      <c r="AQ3" s="74" t="s">
        <v>224</v>
      </c>
      <c r="AR3" s="74"/>
      <c r="AS3" s="104"/>
      <c r="AT3" s="104"/>
      <c r="AU3" s="104"/>
      <c r="AV3" s="104"/>
      <c r="AW3" s="104"/>
      <c r="AX3" s="104"/>
      <c r="AY3" s="105" t="s">
        <v>2</v>
      </c>
      <c r="AZ3" s="92"/>
      <c r="BA3" s="92"/>
      <c r="BB3" s="3" t="s">
        <v>4</v>
      </c>
      <c r="BC3" s="92"/>
      <c r="BD3" s="3" t="s">
        <v>4</v>
      </c>
      <c r="BE3" s="4" t="s">
        <v>4</v>
      </c>
      <c r="BF3" s="5" t="s">
        <v>4</v>
      </c>
      <c r="BG3" s="5" t="s">
        <v>6</v>
      </c>
    </row>
    <row r="4" spans="1:59" ht="15" thickBot="1" x14ac:dyDescent="0.35">
      <c r="A4" s="2" t="s">
        <v>7</v>
      </c>
      <c r="B4" s="2" t="s">
        <v>8</v>
      </c>
      <c r="C4" s="2" t="s">
        <v>9</v>
      </c>
      <c r="D4" s="2" t="s">
        <v>10</v>
      </c>
      <c r="E4" s="2" t="s">
        <v>7</v>
      </c>
      <c r="F4" s="2" t="s">
        <v>11</v>
      </c>
      <c r="G4" s="2" t="s">
        <v>12</v>
      </c>
      <c r="H4" s="2" t="s">
        <v>13</v>
      </c>
      <c r="I4" s="75" t="s">
        <v>15</v>
      </c>
      <c r="J4" s="76" t="s">
        <v>14</v>
      </c>
      <c r="K4" s="76" t="s">
        <v>14</v>
      </c>
      <c r="L4" s="76" t="s">
        <v>15</v>
      </c>
      <c r="M4" s="76" t="s">
        <v>15</v>
      </c>
      <c r="N4" s="76" t="s">
        <v>15</v>
      </c>
      <c r="O4" s="106"/>
      <c r="P4" s="106"/>
      <c r="Q4" s="106"/>
      <c r="R4" s="106"/>
      <c r="S4" s="106"/>
      <c r="T4" s="106"/>
      <c r="U4" s="107" t="s">
        <v>14</v>
      </c>
      <c r="V4" s="2" t="s">
        <v>16</v>
      </c>
      <c r="X4" s="6" t="s">
        <v>17</v>
      </c>
      <c r="Z4" s="6" t="s">
        <v>5</v>
      </c>
      <c r="AA4" s="7" t="s">
        <v>15</v>
      </c>
      <c r="AB4" s="8" t="s">
        <v>18</v>
      </c>
      <c r="AC4" s="8" t="s">
        <v>0</v>
      </c>
      <c r="AE4" s="2" t="s">
        <v>7</v>
      </c>
      <c r="AF4" s="2" t="s">
        <v>8</v>
      </c>
      <c r="AG4" s="2" t="s">
        <v>9</v>
      </c>
      <c r="AH4" s="2" t="s">
        <v>10</v>
      </c>
      <c r="AI4" s="2" t="s">
        <v>7</v>
      </c>
      <c r="AJ4" s="2" t="s">
        <v>11</v>
      </c>
      <c r="AK4" s="2" t="s">
        <v>12</v>
      </c>
      <c r="AL4" s="2" t="s">
        <v>13</v>
      </c>
      <c r="AM4" s="75" t="s">
        <v>15</v>
      </c>
      <c r="AN4" s="76" t="s">
        <v>14</v>
      </c>
      <c r="AO4" s="76" t="s">
        <v>14</v>
      </c>
      <c r="AP4" s="76" t="s">
        <v>15</v>
      </c>
      <c r="AQ4" s="76" t="s">
        <v>15</v>
      </c>
      <c r="AR4" s="76"/>
      <c r="AS4" s="106"/>
      <c r="AT4" s="106"/>
      <c r="AU4" s="106"/>
      <c r="AV4" s="106"/>
      <c r="AW4" s="106"/>
      <c r="AX4" s="106"/>
      <c r="AY4" s="107" t="s">
        <v>14</v>
      </c>
      <c r="AZ4" s="2" t="s">
        <v>16</v>
      </c>
      <c r="BA4" s="92"/>
      <c r="BB4" s="6" t="s">
        <v>17</v>
      </c>
      <c r="BC4" s="92"/>
      <c r="BD4" s="6" t="s">
        <v>5</v>
      </c>
      <c r="BE4" s="7" t="s">
        <v>15</v>
      </c>
      <c r="BF4" s="8" t="s">
        <v>18</v>
      </c>
      <c r="BG4" s="8" t="s">
        <v>0</v>
      </c>
    </row>
    <row r="5" spans="1:59" x14ac:dyDescent="0.3">
      <c r="A5" s="9" t="s">
        <v>19</v>
      </c>
      <c r="B5" s="2">
        <v>146</v>
      </c>
      <c r="C5" s="99">
        <f>ROUND(Load!$D$43+'2022'!$E$30*0.485/744,0)</f>
        <v>98</v>
      </c>
      <c r="D5" s="2">
        <f t="shared" ref="D5:D28" si="0">SUM(B5:C5)</f>
        <v>244</v>
      </c>
      <c r="E5" s="9" t="s">
        <v>19</v>
      </c>
      <c r="F5" s="2"/>
      <c r="G5" s="2">
        <v>35</v>
      </c>
      <c r="H5" s="2"/>
      <c r="I5" s="73">
        <v>25</v>
      </c>
      <c r="J5" s="74">
        <v>100</v>
      </c>
      <c r="K5" s="74"/>
      <c r="L5" s="74">
        <v>50</v>
      </c>
      <c r="M5" s="74"/>
      <c r="N5" s="74">
        <v>75</v>
      </c>
      <c r="O5" s="104"/>
      <c r="P5" s="104"/>
      <c r="Q5" s="104"/>
      <c r="R5" s="104"/>
      <c r="S5" s="104"/>
      <c r="T5" s="104"/>
      <c r="U5" s="105"/>
      <c r="V5" s="2">
        <f t="shared" ref="V5:V28" si="1">SUM(F5:U5)</f>
        <v>285</v>
      </c>
      <c r="W5" s="10"/>
      <c r="X5" s="11">
        <f t="shared" ref="X5:X28" si="2">D5-V5</f>
        <v>-41</v>
      </c>
      <c r="Y5" s="10"/>
      <c r="Z5" s="12">
        <f t="shared" ref="Z5:Z28" si="3">142-F5-H5</f>
        <v>142</v>
      </c>
      <c r="AA5" s="12">
        <f>217-I5-L5-M5-N5</f>
        <v>67</v>
      </c>
      <c r="AB5" s="2">
        <f t="shared" ref="AB5:AB28" si="4">Z5+AA5</f>
        <v>209</v>
      </c>
      <c r="AC5" s="2">
        <f t="shared" ref="AC5:AC28" si="5">Z5+AA5-X5</f>
        <v>250</v>
      </c>
      <c r="AE5" s="9" t="s">
        <v>19</v>
      </c>
      <c r="AF5" s="2">
        <v>146</v>
      </c>
      <c r="AG5" s="99">
        <f>ROUND(Load!$D$43+'2022'!$E$30*0.485/744,0)</f>
        <v>98</v>
      </c>
      <c r="AH5" s="2">
        <f t="shared" ref="AH5:AH28" si="6">SUM(AF5:AG5)</f>
        <v>244</v>
      </c>
      <c r="AI5" s="9" t="s">
        <v>19</v>
      </c>
      <c r="AJ5" s="2"/>
      <c r="AK5" s="2">
        <v>35</v>
      </c>
      <c r="AL5" s="2"/>
      <c r="AM5" s="73">
        <v>25</v>
      </c>
      <c r="AN5" s="74">
        <v>100</v>
      </c>
      <c r="AO5" s="74"/>
      <c r="AP5" s="74">
        <v>50</v>
      </c>
      <c r="AQ5" s="74">
        <v>75</v>
      </c>
      <c r="AR5" s="74"/>
      <c r="AS5" s="104"/>
      <c r="AT5" s="104"/>
      <c r="AU5" s="104"/>
      <c r="AV5" s="104"/>
      <c r="AW5" s="104"/>
      <c r="AX5" s="104"/>
      <c r="AY5" s="105"/>
      <c r="AZ5" s="2">
        <f t="shared" ref="AZ5:AZ28" si="7">SUM(AJ5:AY5)</f>
        <v>285</v>
      </c>
      <c r="BA5" s="10"/>
      <c r="BB5" s="11">
        <f t="shared" ref="BB5:BB28" si="8">AH5-AZ5</f>
        <v>-41</v>
      </c>
      <c r="BC5" s="10"/>
      <c r="BD5" s="12">
        <f t="shared" ref="BD5:BD28" si="9">142-AJ5-AL5</f>
        <v>142</v>
      </c>
      <c r="BE5" s="12">
        <f>217-AM5-AP5-AQ5</f>
        <v>67</v>
      </c>
      <c r="BF5" s="2">
        <f t="shared" ref="BF5:BF28" si="10">BD5+BE5</f>
        <v>209</v>
      </c>
      <c r="BG5" s="2">
        <f t="shared" ref="BG5:BG28" si="11">BD5+BE5-BB5</f>
        <v>250</v>
      </c>
    </row>
    <row r="6" spans="1:59" x14ac:dyDescent="0.3">
      <c r="A6" s="9" t="s">
        <v>20</v>
      </c>
      <c r="B6" s="314">
        <v>146</v>
      </c>
      <c r="C6" s="99">
        <f>ROUND(Load!$D$43+'2022'!$E$30*0.485/744,0)</f>
        <v>98</v>
      </c>
      <c r="D6" s="2">
        <f t="shared" si="0"/>
        <v>244</v>
      </c>
      <c r="E6" s="9" t="s">
        <v>20</v>
      </c>
      <c r="F6" s="2"/>
      <c r="G6" s="2">
        <v>35</v>
      </c>
      <c r="H6" s="2"/>
      <c r="I6" s="77">
        <v>25</v>
      </c>
      <c r="J6" s="78">
        <v>100</v>
      </c>
      <c r="K6" s="78"/>
      <c r="L6" s="78">
        <v>50</v>
      </c>
      <c r="M6" s="78"/>
      <c r="N6" s="78">
        <v>75</v>
      </c>
      <c r="O6" s="108"/>
      <c r="P6" s="108"/>
      <c r="Q6" s="108"/>
      <c r="R6" s="108"/>
      <c r="S6" s="108"/>
      <c r="T6" s="108"/>
      <c r="U6" s="109"/>
      <c r="V6" s="2">
        <f t="shared" si="1"/>
        <v>285</v>
      </c>
      <c r="W6" s="10"/>
      <c r="X6" s="11">
        <f t="shared" si="2"/>
        <v>-41</v>
      </c>
      <c r="Y6" s="10"/>
      <c r="Z6" s="12">
        <f t="shared" si="3"/>
        <v>142</v>
      </c>
      <c r="AA6" s="12">
        <f t="shared" ref="AA6:AA10" si="12">217-I6-L6-M6-N6</f>
        <v>67</v>
      </c>
      <c r="AB6" s="2">
        <f t="shared" si="4"/>
        <v>209</v>
      </c>
      <c r="AC6" s="2">
        <f t="shared" si="5"/>
        <v>250</v>
      </c>
      <c r="AE6" s="9" t="s">
        <v>20</v>
      </c>
      <c r="AF6" s="2">
        <v>146</v>
      </c>
      <c r="AG6" s="99">
        <f>ROUND(Load!$D$43+'2022'!$E$30*0.485/744,0)</f>
        <v>98</v>
      </c>
      <c r="AH6" s="2">
        <f t="shared" si="6"/>
        <v>244</v>
      </c>
      <c r="AI6" s="9" t="s">
        <v>20</v>
      </c>
      <c r="AJ6" s="2"/>
      <c r="AK6" s="2">
        <v>35</v>
      </c>
      <c r="AL6" s="2"/>
      <c r="AM6" s="77">
        <v>25</v>
      </c>
      <c r="AN6" s="78">
        <v>100</v>
      </c>
      <c r="AO6" s="78"/>
      <c r="AP6" s="78">
        <v>50</v>
      </c>
      <c r="AQ6" s="78">
        <v>75</v>
      </c>
      <c r="AR6" s="78"/>
      <c r="AS6" s="108"/>
      <c r="AT6" s="108"/>
      <c r="AU6" s="108"/>
      <c r="AV6" s="108"/>
      <c r="AW6" s="108"/>
      <c r="AX6" s="108"/>
      <c r="AY6" s="109"/>
      <c r="AZ6" s="2">
        <f t="shared" si="7"/>
        <v>285</v>
      </c>
      <c r="BA6" s="10"/>
      <c r="BB6" s="11">
        <f t="shared" si="8"/>
        <v>-41</v>
      </c>
      <c r="BC6" s="10"/>
      <c r="BD6" s="12">
        <f t="shared" si="9"/>
        <v>142</v>
      </c>
      <c r="BE6" s="12">
        <f t="shared" ref="BE6:BE26" si="13">217-AM6-AP6-AQ6</f>
        <v>67</v>
      </c>
      <c r="BF6" s="2">
        <f t="shared" si="10"/>
        <v>209</v>
      </c>
      <c r="BG6" s="2">
        <f t="shared" si="11"/>
        <v>250</v>
      </c>
    </row>
    <row r="7" spans="1:59" x14ac:dyDescent="0.3">
      <c r="A7" s="9" t="s">
        <v>21</v>
      </c>
      <c r="B7" s="314">
        <v>146</v>
      </c>
      <c r="C7" s="99">
        <f>ROUND(Load!$D$43+'2022'!$E$30*0.485/744,0)</f>
        <v>98</v>
      </c>
      <c r="D7" s="2">
        <f t="shared" si="0"/>
        <v>244</v>
      </c>
      <c r="E7" s="9" t="s">
        <v>21</v>
      </c>
      <c r="F7" s="2"/>
      <c r="G7" s="2">
        <v>35</v>
      </c>
      <c r="H7" s="2"/>
      <c r="I7" s="77">
        <v>25</v>
      </c>
      <c r="J7" s="78">
        <v>100</v>
      </c>
      <c r="K7" s="78"/>
      <c r="L7" s="78">
        <v>50</v>
      </c>
      <c r="M7" s="78"/>
      <c r="N7" s="78">
        <v>75</v>
      </c>
      <c r="O7" s="108"/>
      <c r="P7" s="108"/>
      <c r="Q7" s="108"/>
      <c r="R7" s="108"/>
      <c r="S7" s="108"/>
      <c r="T7" s="108"/>
      <c r="U7" s="109"/>
      <c r="V7" s="2">
        <f t="shared" si="1"/>
        <v>285</v>
      </c>
      <c r="W7" s="10"/>
      <c r="X7" s="11">
        <f t="shared" si="2"/>
        <v>-41</v>
      </c>
      <c r="Y7" s="10"/>
      <c r="Z7" s="12">
        <f>142-F7-H7</f>
        <v>142</v>
      </c>
      <c r="AA7" s="12">
        <f t="shared" si="12"/>
        <v>67</v>
      </c>
      <c r="AB7" s="2">
        <f t="shared" si="4"/>
        <v>209</v>
      </c>
      <c r="AC7" s="2">
        <f t="shared" si="5"/>
        <v>250</v>
      </c>
      <c r="AE7" s="9" t="s">
        <v>21</v>
      </c>
      <c r="AF7" s="2">
        <v>146</v>
      </c>
      <c r="AG7" s="99">
        <f>ROUND(Load!$D$43+'2022'!$E$30*0.485/744,0)</f>
        <v>98</v>
      </c>
      <c r="AH7" s="2">
        <f t="shared" si="6"/>
        <v>244</v>
      </c>
      <c r="AI7" s="9" t="s">
        <v>21</v>
      </c>
      <c r="AJ7" s="2"/>
      <c r="AK7" s="2">
        <v>35</v>
      </c>
      <c r="AL7" s="2"/>
      <c r="AM7" s="77">
        <v>25</v>
      </c>
      <c r="AN7" s="78">
        <v>100</v>
      </c>
      <c r="AO7" s="78"/>
      <c r="AP7" s="78">
        <v>50</v>
      </c>
      <c r="AQ7" s="78">
        <v>75</v>
      </c>
      <c r="AR7" s="78"/>
      <c r="AS7" s="108"/>
      <c r="AT7" s="108"/>
      <c r="AU7" s="108"/>
      <c r="AV7" s="108"/>
      <c r="AW7" s="108"/>
      <c r="AX7" s="108"/>
      <c r="AY7" s="109"/>
      <c r="AZ7" s="2">
        <f t="shared" si="7"/>
        <v>285</v>
      </c>
      <c r="BA7" s="10"/>
      <c r="BB7" s="11">
        <f t="shared" si="8"/>
        <v>-41</v>
      </c>
      <c r="BC7" s="10"/>
      <c r="BD7" s="12">
        <f t="shared" si="9"/>
        <v>142</v>
      </c>
      <c r="BE7" s="12">
        <f t="shared" si="13"/>
        <v>67</v>
      </c>
      <c r="BF7" s="2">
        <f t="shared" si="10"/>
        <v>209</v>
      </c>
      <c r="BG7" s="2">
        <f t="shared" si="11"/>
        <v>250</v>
      </c>
    </row>
    <row r="8" spans="1:59" x14ac:dyDescent="0.3">
      <c r="A8" s="9" t="s">
        <v>22</v>
      </c>
      <c r="B8" s="314">
        <v>146</v>
      </c>
      <c r="C8" s="99">
        <f>ROUND(Load!$D$43+'2022'!$E$30*0.485/744,0)</f>
        <v>98</v>
      </c>
      <c r="D8" s="2">
        <f t="shared" si="0"/>
        <v>244</v>
      </c>
      <c r="E8" s="9" t="s">
        <v>22</v>
      </c>
      <c r="F8" s="2"/>
      <c r="G8" s="2">
        <v>35</v>
      </c>
      <c r="H8" s="2"/>
      <c r="I8" s="77">
        <v>25</v>
      </c>
      <c r="J8" s="78">
        <v>100</v>
      </c>
      <c r="K8" s="78"/>
      <c r="L8" s="78">
        <v>50</v>
      </c>
      <c r="M8" s="78"/>
      <c r="N8" s="78">
        <v>75</v>
      </c>
      <c r="O8" s="108"/>
      <c r="P8" s="108"/>
      <c r="Q8" s="108"/>
      <c r="R8" s="108"/>
      <c r="S8" s="108"/>
      <c r="T8" s="108"/>
      <c r="U8" s="109"/>
      <c r="V8" s="2">
        <f t="shared" si="1"/>
        <v>285</v>
      </c>
      <c r="W8" s="10"/>
      <c r="X8" s="11">
        <f t="shared" si="2"/>
        <v>-41</v>
      </c>
      <c r="Y8" s="10"/>
      <c r="Z8" s="12">
        <f t="shared" si="3"/>
        <v>142</v>
      </c>
      <c r="AA8" s="12">
        <f t="shared" si="12"/>
        <v>67</v>
      </c>
      <c r="AB8" s="2">
        <f t="shared" si="4"/>
        <v>209</v>
      </c>
      <c r="AC8" s="2">
        <f t="shared" si="5"/>
        <v>250</v>
      </c>
      <c r="AE8" s="9" t="s">
        <v>22</v>
      </c>
      <c r="AF8" s="2">
        <v>146</v>
      </c>
      <c r="AG8" s="99">
        <f>ROUND(Load!$D$43+'2022'!$E$30*0.485/744,0)</f>
        <v>98</v>
      </c>
      <c r="AH8" s="2">
        <f t="shared" si="6"/>
        <v>244</v>
      </c>
      <c r="AI8" s="9" t="s">
        <v>22</v>
      </c>
      <c r="AJ8" s="2"/>
      <c r="AK8" s="2">
        <v>35</v>
      </c>
      <c r="AL8" s="2"/>
      <c r="AM8" s="77">
        <v>25</v>
      </c>
      <c r="AN8" s="78">
        <v>100</v>
      </c>
      <c r="AO8" s="78"/>
      <c r="AP8" s="78">
        <v>50</v>
      </c>
      <c r="AQ8" s="78">
        <v>75</v>
      </c>
      <c r="AR8" s="78"/>
      <c r="AS8" s="108"/>
      <c r="AT8" s="108"/>
      <c r="AU8" s="108"/>
      <c r="AV8" s="108"/>
      <c r="AW8" s="108"/>
      <c r="AX8" s="108"/>
      <c r="AY8" s="109"/>
      <c r="AZ8" s="2">
        <f t="shared" si="7"/>
        <v>285</v>
      </c>
      <c r="BA8" s="10"/>
      <c r="BB8" s="11">
        <f t="shared" si="8"/>
        <v>-41</v>
      </c>
      <c r="BC8" s="10"/>
      <c r="BD8" s="12">
        <f t="shared" si="9"/>
        <v>142</v>
      </c>
      <c r="BE8" s="12">
        <f t="shared" si="13"/>
        <v>67</v>
      </c>
      <c r="BF8" s="2">
        <f t="shared" si="10"/>
        <v>209</v>
      </c>
      <c r="BG8" s="2">
        <f t="shared" si="11"/>
        <v>250</v>
      </c>
    </row>
    <row r="9" spans="1:59" x14ac:dyDescent="0.3">
      <c r="A9" s="9" t="s">
        <v>23</v>
      </c>
      <c r="B9" s="314">
        <v>146</v>
      </c>
      <c r="C9" s="99">
        <f>ROUND(Load!$D$43+'2022'!$E$30*0.485/744,0)</f>
        <v>98</v>
      </c>
      <c r="D9" s="2">
        <f t="shared" si="0"/>
        <v>244</v>
      </c>
      <c r="E9" s="9" t="s">
        <v>23</v>
      </c>
      <c r="F9" s="2"/>
      <c r="G9" s="2">
        <v>35</v>
      </c>
      <c r="H9" s="2"/>
      <c r="I9" s="77">
        <v>25</v>
      </c>
      <c r="J9" s="78">
        <v>100</v>
      </c>
      <c r="K9" s="78"/>
      <c r="L9" s="78">
        <v>50</v>
      </c>
      <c r="M9" s="78"/>
      <c r="N9" s="78">
        <v>75</v>
      </c>
      <c r="O9" s="108"/>
      <c r="P9" s="108"/>
      <c r="Q9" s="108"/>
      <c r="R9" s="108"/>
      <c r="S9" s="108"/>
      <c r="T9" s="108"/>
      <c r="U9" s="109"/>
      <c r="V9" s="2">
        <f t="shared" si="1"/>
        <v>285</v>
      </c>
      <c r="W9" s="10"/>
      <c r="X9" s="11">
        <f t="shared" si="2"/>
        <v>-41</v>
      </c>
      <c r="Y9" s="10"/>
      <c r="Z9" s="12">
        <f t="shared" si="3"/>
        <v>142</v>
      </c>
      <c r="AA9" s="12">
        <f t="shared" si="12"/>
        <v>67</v>
      </c>
      <c r="AB9" s="2">
        <f t="shared" si="4"/>
        <v>209</v>
      </c>
      <c r="AC9" s="2">
        <f t="shared" si="5"/>
        <v>250</v>
      </c>
      <c r="AE9" s="9" t="s">
        <v>23</v>
      </c>
      <c r="AF9" s="2">
        <v>146</v>
      </c>
      <c r="AG9" s="99">
        <f>ROUND(Load!$D$43+'2022'!$E$30*0.485/744,0)</f>
        <v>98</v>
      </c>
      <c r="AH9" s="2">
        <f t="shared" si="6"/>
        <v>244</v>
      </c>
      <c r="AI9" s="9" t="s">
        <v>23</v>
      </c>
      <c r="AJ9" s="2"/>
      <c r="AK9" s="2">
        <v>35</v>
      </c>
      <c r="AL9" s="2"/>
      <c r="AM9" s="77">
        <v>25</v>
      </c>
      <c r="AN9" s="78">
        <v>100</v>
      </c>
      <c r="AO9" s="78"/>
      <c r="AP9" s="78">
        <v>50</v>
      </c>
      <c r="AQ9" s="78">
        <v>75</v>
      </c>
      <c r="AR9" s="78"/>
      <c r="AS9" s="108"/>
      <c r="AT9" s="108"/>
      <c r="AU9" s="108"/>
      <c r="AV9" s="108"/>
      <c r="AW9" s="108"/>
      <c r="AX9" s="108"/>
      <c r="AY9" s="109"/>
      <c r="AZ9" s="2">
        <f t="shared" si="7"/>
        <v>285</v>
      </c>
      <c r="BA9" s="10"/>
      <c r="BB9" s="11">
        <f t="shared" si="8"/>
        <v>-41</v>
      </c>
      <c r="BC9" s="10"/>
      <c r="BD9" s="12">
        <f>142-AJ9-AL9</f>
        <v>142</v>
      </c>
      <c r="BE9" s="12">
        <f t="shared" si="13"/>
        <v>67</v>
      </c>
      <c r="BF9" s="2">
        <f t="shared" si="10"/>
        <v>209</v>
      </c>
      <c r="BG9" s="2">
        <f t="shared" si="11"/>
        <v>250</v>
      </c>
    </row>
    <row r="10" spans="1:59" x14ac:dyDescent="0.3">
      <c r="A10" s="9" t="s">
        <v>24</v>
      </c>
      <c r="B10" s="314">
        <v>146</v>
      </c>
      <c r="C10" s="99">
        <f>ROUND(Load!$D$43+'2022'!$E$30*0.485/744,0)</f>
        <v>98</v>
      </c>
      <c r="D10" s="2">
        <f t="shared" si="0"/>
        <v>244</v>
      </c>
      <c r="E10" s="9" t="s">
        <v>24</v>
      </c>
      <c r="F10" s="2"/>
      <c r="G10" s="2">
        <v>35</v>
      </c>
      <c r="H10" s="2"/>
      <c r="I10" s="77">
        <v>25</v>
      </c>
      <c r="J10" s="78">
        <v>100</v>
      </c>
      <c r="K10" s="78"/>
      <c r="L10" s="78">
        <v>50</v>
      </c>
      <c r="M10" s="78"/>
      <c r="N10" s="78">
        <v>75</v>
      </c>
      <c r="O10" s="108"/>
      <c r="P10" s="108"/>
      <c r="Q10" s="108"/>
      <c r="R10" s="108"/>
      <c r="S10" s="108"/>
      <c r="T10" s="108"/>
      <c r="U10" s="109"/>
      <c r="V10" s="2">
        <f t="shared" si="1"/>
        <v>285</v>
      </c>
      <c r="W10" s="10"/>
      <c r="X10" s="11">
        <f t="shared" si="2"/>
        <v>-41</v>
      </c>
      <c r="Y10" s="10"/>
      <c r="Z10" s="12">
        <f t="shared" si="3"/>
        <v>142</v>
      </c>
      <c r="AA10" s="12">
        <f t="shared" si="12"/>
        <v>67</v>
      </c>
      <c r="AB10" s="2">
        <f t="shared" si="4"/>
        <v>209</v>
      </c>
      <c r="AC10" s="2">
        <f t="shared" si="5"/>
        <v>250</v>
      </c>
      <c r="AE10" s="9" t="s">
        <v>24</v>
      </c>
      <c r="AF10" s="2">
        <v>146</v>
      </c>
      <c r="AG10" s="99">
        <f>ROUND(Load!$D$43+'2022'!$E$30*0.485/744,0)</f>
        <v>98</v>
      </c>
      <c r="AH10" s="2">
        <f t="shared" si="6"/>
        <v>244</v>
      </c>
      <c r="AI10" s="9" t="s">
        <v>24</v>
      </c>
      <c r="AJ10" s="2"/>
      <c r="AK10" s="2">
        <v>35</v>
      </c>
      <c r="AL10" s="2"/>
      <c r="AM10" s="77">
        <v>25</v>
      </c>
      <c r="AN10" s="78">
        <v>100</v>
      </c>
      <c r="AO10" s="78"/>
      <c r="AP10" s="78">
        <v>50</v>
      </c>
      <c r="AQ10" s="78">
        <v>75</v>
      </c>
      <c r="AR10" s="78"/>
      <c r="AS10" s="108"/>
      <c r="AT10" s="108"/>
      <c r="AU10" s="108"/>
      <c r="AV10" s="108"/>
      <c r="AW10" s="108"/>
      <c r="AX10" s="108"/>
      <c r="AY10" s="109"/>
      <c r="AZ10" s="2">
        <f t="shared" si="7"/>
        <v>285</v>
      </c>
      <c r="BA10" s="10"/>
      <c r="BB10" s="11">
        <f t="shared" si="8"/>
        <v>-41</v>
      </c>
      <c r="BC10" s="10"/>
      <c r="BD10" s="12">
        <f t="shared" si="9"/>
        <v>142</v>
      </c>
      <c r="BE10" s="12">
        <f t="shared" si="13"/>
        <v>67</v>
      </c>
      <c r="BF10" s="2">
        <f t="shared" si="10"/>
        <v>209</v>
      </c>
      <c r="BG10" s="2">
        <f t="shared" si="11"/>
        <v>250</v>
      </c>
    </row>
    <row r="11" spans="1:59" x14ac:dyDescent="0.3">
      <c r="A11" s="9" t="s">
        <v>25</v>
      </c>
      <c r="B11" s="2"/>
      <c r="C11" s="99">
        <f>ROUND(Load!$D$43+'2022'!$E$30*0.485/744,0)</f>
        <v>98</v>
      </c>
      <c r="D11" s="2">
        <f t="shared" si="0"/>
        <v>98</v>
      </c>
      <c r="E11" s="9" t="s">
        <v>25</v>
      </c>
      <c r="F11" s="2">
        <f>'Hoover with 30 MW Solar'!$B$39</f>
        <v>26</v>
      </c>
      <c r="G11" s="2">
        <v>35</v>
      </c>
      <c r="H11" s="2"/>
      <c r="I11" s="77"/>
      <c r="J11" s="78"/>
      <c r="K11" s="78">
        <v>100</v>
      </c>
      <c r="L11" s="78"/>
      <c r="M11" s="78">
        <v>50</v>
      </c>
      <c r="N11" s="78"/>
      <c r="O11" s="108"/>
      <c r="P11" s="108"/>
      <c r="Q11" s="108"/>
      <c r="R11" s="108"/>
      <c r="S11" s="108"/>
      <c r="T11" s="108"/>
      <c r="U11" s="109">
        <v>-12</v>
      </c>
      <c r="V11" s="2">
        <f t="shared" si="1"/>
        <v>199</v>
      </c>
      <c r="W11" s="10"/>
      <c r="X11" s="13">
        <f t="shared" si="2"/>
        <v>-101</v>
      </c>
      <c r="Y11" s="10"/>
      <c r="Z11" s="14">
        <f t="shared" si="3"/>
        <v>116</v>
      </c>
      <c r="AA11" s="14">
        <f>217-I11-L11-M11-N11</f>
        <v>167</v>
      </c>
      <c r="AB11" s="2">
        <f t="shared" si="4"/>
        <v>283</v>
      </c>
      <c r="AC11" s="2">
        <f t="shared" si="5"/>
        <v>384</v>
      </c>
      <c r="AE11" s="9" t="s">
        <v>25</v>
      </c>
      <c r="AF11" s="2"/>
      <c r="AG11" s="99">
        <f>ROUND(Load!$D$43+'2022'!$E$30*0.485/744,0)</f>
        <v>98</v>
      </c>
      <c r="AH11" s="2">
        <f t="shared" si="6"/>
        <v>98</v>
      </c>
      <c r="AI11" s="9" t="s">
        <v>25</v>
      </c>
      <c r="AJ11" s="2">
        <f>'Hoover with 30 MW Solar'!$B$39</f>
        <v>26</v>
      </c>
      <c r="AK11" s="2">
        <v>35</v>
      </c>
      <c r="AL11" s="2"/>
      <c r="AM11" s="77"/>
      <c r="AN11" s="78"/>
      <c r="AO11" s="78">
        <v>100</v>
      </c>
      <c r="AP11" s="78">
        <v>50</v>
      </c>
      <c r="AQ11" s="78">
        <v>75</v>
      </c>
      <c r="AR11" s="78"/>
      <c r="AS11" s="108"/>
      <c r="AT11" s="108"/>
      <c r="AU11" s="108"/>
      <c r="AV11" s="108"/>
      <c r="AW11" s="108"/>
      <c r="AX11" s="108"/>
      <c r="AY11" s="109">
        <v>-12</v>
      </c>
      <c r="AZ11" s="2">
        <f t="shared" si="7"/>
        <v>274</v>
      </c>
      <c r="BA11" s="10"/>
      <c r="BB11" s="13">
        <f t="shared" si="8"/>
        <v>-176</v>
      </c>
      <c r="BC11" s="10"/>
      <c r="BD11" s="14">
        <f t="shared" si="9"/>
        <v>116</v>
      </c>
      <c r="BE11" s="14">
        <f t="shared" si="13"/>
        <v>92</v>
      </c>
      <c r="BF11" s="2">
        <f t="shared" si="10"/>
        <v>208</v>
      </c>
      <c r="BG11" s="2">
        <f t="shared" si="11"/>
        <v>384</v>
      </c>
    </row>
    <row r="12" spans="1:59" x14ac:dyDescent="0.3">
      <c r="A12" s="9" t="s">
        <v>26</v>
      </c>
      <c r="B12" s="2"/>
      <c r="C12" s="99">
        <f>ROUND(Load!$D$43+'2022'!$E$30*0.485/744,0)</f>
        <v>98</v>
      </c>
      <c r="D12" s="2">
        <f t="shared" si="0"/>
        <v>98</v>
      </c>
      <c r="E12" s="9" t="s">
        <v>26</v>
      </c>
      <c r="F12" s="2">
        <f>'Hoover with 30 MW Solar'!$B$39</f>
        <v>26</v>
      </c>
      <c r="G12" s="2">
        <v>35</v>
      </c>
      <c r="H12" s="2"/>
      <c r="I12" s="77"/>
      <c r="J12" s="78"/>
      <c r="K12" s="78">
        <v>100</v>
      </c>
      <c r="L12" s="78"/>
      <c r="M12" s="78">
        <v>50</v>
      </c>
      <c r="N12" s="78"/>
      <c r="O12" s="108"/>
      <c r="P12" s="108"/>
      <c r="Q12" s="108"/>
      <c r="R12" s="108"/>
      <c r="S12" s="108"/>
      <c r="T12" s="108"/>
      <c r="U12" s="109">
        <v>-12</v>
      </c>
      <c r="V12" s="2">
        <f t="shared" si="1"/>
        <v>199</v>
      </c>
      <c r="W12" s="10"/>
      <c r="X12" s="13">
        <f t="shared" si="2"/>
        <v>-101</v>
      </c>
      <c r="Y12" s="10"/>
      <c r="Z12" s="14">
        <f t="shared" si="3"/>
        <v>116</v>
      </c>
      <c r="AA12" s="14">
        <f t="shared" ref="AA12:AA26" si="14">217-I12-L12-M12-N12</f>
        <v>167</v>
      </c>
      <c r="AB12" s="2">
        <f t="shared" si="4"/>
        <v>283</v>
      </c>
      <c r="AC12" s="2">
        <f t="shared" si="5"/>
        <v>384</v>
      </c>
      <c r="AE12" s="9" t="s">
        <v>26</v>
      </c>
      <c r="AF12" s="2"/>
      <c r="AG12" s="99">
        <f>ROUND(Load!$D$43+'2022'!$E$30*0.485/744,0)</f>
        <v>98</v>
      </c>
      <c r="AH12" s="2">
        <f t="shared" si="6"/>
        <v>98</v>
      </c>
      <c r="AI12" s="9" t="s">
        <v>26</v>
      </c>
      <c r="AJ12" s="2">
        <f>'Hoover with 30 MW Solar'!$B$39</f>
        <v>26</v>
      </c>
      <c r="AK12" s="2">
        <v>35</v>
      </c>
      <c r="AL12" s="2"/>
      <c r="AM12" s="77"/>
      <c r="AN12" s="78"/>
      <c r="AO12" s="78">
        <v>100</v>
      </c>
      <c r="AP12" s="78">
        <v>50</v>
      </c>
      <c r="AQ12" s="78">
        <v>75</v>
      </c>
      <c r="AR12" s="78"/>
      <c r="AS12" s="108"/>
      <c r="AT12" s="108"/>
      <c r="AU12" s="108"/>
      <c r="AV12" s="108"/>
      <c r="AW12" s="108"/>
      <c r="AX12" s="108"/>
      <c r="AY12" s="109">
        <v>-12</v>
      </c>
      <c r="AZ12" s="2">
        <f t="shared" si="7"/>
        <v>274</v>
      </c>
      <c r="BA12" s="10"/>
      <c r="BB12" s="13">
        <f t="shared" si="8"/>
        <v>-176</v>
      </c>
      <c r="BC12" s="10"/>
      <c r="BD12" s="14">
        <f t="shared" si="9"/>
        <v>116</v>
      </c>
      <c r="BE12" s="14">
        <f t="shared" si="13"/>
        <v>92</v>
      </c>
      <c r="BF12" s="2">
        <f t="shared" si="10"/>
        <v>208</v>
      </c>
      <c r="BG12" s="2">
        <f t="shared" si="11"/>
        <v>384</v>
      </c>
    </row>
    <row r="13" spans="1:59" x14ac:dyDescent="0.3">
      <c r="A13" s="9" t="s">
        <v>27</v>
      </c>
      <c r="B13" s="314">
        <v>289</v>
      </c>
      <c r="C13" s="99">
        <f>ROUND(Load!$D$43+'2022'!$E$30*0.485/744,0)</f>
        <v>98</v>
      </c>
      <c r="D13" s="2">
        <f t="shared" si="0"/>
        <v>387</v>
      </c>
      <c r="E13" s="9" t="s">
        <v>27</v>
      </c>
      <c r="F13" s="2">
        <f>'Hoover with 30 MW Solar'!$B$39</f>
        <v>26</v>
      </c>
      <c r="G13" s="2">
        <v>35</v>
      </c>
      <c r="H13" s="2"/>
      <c r="I13" s="77"/>
      <c r="J13" s="78"/>
      <c r="K13" s="78">
        <v>100</v>
      </c>
      <c r="L13" s="78"/>
      <c r="M13" s="78">
        <v>50</v>
      </c>
      <c r="N13" s="78"/>
      <c r="O13" s="108"/>
      <c r="P13" s="108"/>
      <c r="Q13" s="108"/>
      <c r="R13" s="108"/>
      <c r="S13" s="108"/>
      <c r="T13" s="108"/>
      <c r="U13" s="109">
        <v>-12</v>
      </c>
      <c r="V13" s="2">
        <f t="shared" si="1"/>
        <v>199</v>
      </c>
      <c r="W13" s="10"/>
      <c r="X13" s="13">
        <f t="shared" si="2"/>
        <v>188</v>
      </c>
      <c r="Y13" s="10"/>
      <c r="Z13" s="14">
        <f t="shared" si="3"/>
        <v>116</v>
      </c>
      <c r="AA13" s="14">
        <f t="shared" si="14"/>
        <v>167</v>
      </c>
      <c r="AB13" s="2">
        <f t="shared" si="4"/>
        <v>283</v>
      </c>
      <c r="AC13" s="2">
        <f t="shared" si="5"/>
        <v>95</v>
      </c>
      <c r="AE13" s="9" t="s">
        <v>27</v>
      </c>
      <c r="AF13" s="2">
        <v>289</v>
      </c>
      <c r="AG13" s="99">
        <f>ROUND(Load!$D$43+'2022'!$E$30*0.485/744,0)</f>
        <v>98</v>
      </c>
      <c r="AH13" s="2">
        <f t="shared" si="6"/>
        <v>387</v>
      </c>
      <c r="AI13" s="9" t="s">
        <v>27</v>
      </c>
      <c r="AJ13" s="2">
        <f>'Hoover with 30 MW Solar'!$B$39</f>
        <v>26</v>
      </c>
      <c r="AK13" s="2">
        <v>35</v>
      </c>
      <c r="AL13" s="2"/>
      <c r="AM13" s="77"/>
      <c r="AN13" s="78"/>
      <c r="AO13" s="78">
        <v>100</v>
      </c>
      <c r="AP13" s="78">
        <v>50</v>
      </c>
      <c r="AQ13" s="78">
        <v>75</v>
      </c>
      <c r="AR13" s="78"/>
      <c r="AS13" s="108"/>
      <c r="AT13" s="108"/>
      <c r="AU13" s="108"/>
      <c r="AV13" s="108"/>
      <c r="AW13" s="108"/>
      <c r="AX13" s="108"/>
      <c r="AY13" s="109">
        <v>-12</v>
      </c>
      <c r="AZ13" s="2">
        <f t="shared" si="7"/>
        <v>274</v>
      </c>
      <c r="BA13" s="10"/>
      <c r="BB13" s="13">
        <f t="shared" si="8"/>
        <v>113</v>
      </c>
      <c r="BC13" s="10"/>
      <c r="BD13" s="14">
        <f t="shared" si="9"/>
        <v>116</v>
      </c>
      <c r="BE13" s="14">
        <f t="shared" si="13"/>
        <v>92</v>
      </c>
      <c r="BF13" s="2">
        <f t="shared" si="10"/>
        <v>208</v>
      </c>
      <c r="BG13" s="2">
        <f t="shared" si="11"/>
        <v>95</v>
      </c>
    </row>
    <row r="14" spans="1:59" x14ac:dyDescent="0.3">
      <c r="A14" s="9" t="s">
        <v>28</v>
      </c>
      <c r="B14" s="314">
        <v>289</v>
      </c>
      <c r="C14" s="99">
        <f>ROUND(Load!$D$43+'2022'!$E$30*0.485/744,0)</f>
        <v>98</v>
      </c>
      <c r="D14" s="2">
        <f t="shared" si="0"/>
        <v>387</v>
      </c>
      <c r="E14" s="9" t="s">
        <v>28</v>
      </c>
      <c r="F14" s="2">
        <f>'Hoover with 30 MW Solar'!$B$39</f>
        <v>26</v>
      </c>
      <c r="G14" s="2">
        <v>35</v>
      </c>
      <c r="H14" s="2"/>
      <c r="I14" s="77"/>
      <c r="J14" s="78"/>
      <c r="K14" s="78">
        <v>100</v>
      </c>
      <c r="L14" s="78"/>
      <c r="M14" s="78">
        <v>50</v>
      </c>
      <c r="N14" s="78"/>
      <c r="O14" s="108"/>
      <c r="P14" s="108"/>
      <c r="Q14" s="108"/>
      <c r="R14" s="108"/>
      <c r="S14" s="108"/>
      <c r="T14" s="108"/>
      <c r="U14" s="109">
        <v>-12</v>
      </c>
      <c r="V14" s="2">
        <f t="shared" si="1"/>
        <v>199</v>
      </c>
      <c r="W14" s="10"/>
      <c r="X14" s="13">
        <f t="shared" si="2"/>
        <v>188</v>
      </c>
      <c r="Y14" s="10"/>
      <c r="Z14" s="14">
        <f t="shared" si="3"/>
        <v>116</v>
      </c>
      <c r="AA14" s="14">
        <f t="shared" si="14"/>
        <v>167</v>
      </c>
      <c r="AB14" s="2">
        <f t="shared" si="4"/>
        <v>283</v>
      </c>
      <c r="AC14" s="2">
        <f t="shared" si="5"/>
        <v>95</v>
      </c>
      <c r="AE14" s="9" t="s">
        <v>28</v>
      </c>
      <c r="AF14" s="2">
        <v>289</v>
      </c>
      <c r="AG14" s="99">
        <f>ROUND(Load!$D$43+'2022'!$E$30*0.485/744,0)</f>
        <v>98</v>
      </c>
      <c r="AH14" s="2">
        <f t="shared" si="6"/>
        <v>387</v>
      </c>
      <c r="AI14" s="9" t="s">
        <v>28</v>
      </c>
      <c r="AJ14" s="2">
        <f>'Hoover with 30 MW Solar'!$B$39</f>
        <v>26</v>
      </c>
      <c r="AK14" s="2">
        <v>35</v>
      </c>
      <c r="AL14" s="2"/>
      <c r="AM14" s="77"/>
      <c r="AN14" s="78"/>
      <c r="AO14" s="78">
        <v>100</v>
      </c>
      <c r="AP14" s="78">
        <v>50</v>
      </c>
      <c r="AQ14" s="78">
        <v>75</v>
      </c>
      <c r="AR14" s="78"/>
      <c r="AS14" s="108"/>
      <c r="AT14" s="108"/>
      <c r="AU14" s="108"/>
      <c r="AV14" s="108"/>
      <c r="AW14" s="108"/>
      <c r="AX14" s="108"/>
      <c r="AY14" s="109">
        <v>-12</v>
      </c>
      <c r="AZ14" s="2">
        <f t="shared" si="7"/>
        <v>274</v>
      </c>
      <c r="BA14" s="10"/>
      <c r="BB14" s="13">
        <f t="shared" si="8"/>
        <v>113</v>
      </c>
      <c r="BC14" s="10"/>
      <c r="BD14" s="14">
        <f t="shared" si="9"/>
        <v>116</v>
      </c>
      <c r="BE14" s="14">
        <f t="shared" si="13"/>
        <v>92</v>
      </c>
      <c r="BF14" s="2">
        <f t="shared" si="10"/>
        <v>208</v>
      </c>
      <c r="BG14" s="2">
        <f t="shared" si="11"/>
        <v>95</v>
      </c>
    </row>
    <row r="15" spans="1:59" x14ac:dyDescent="0.3">
      <c r="A15" s="9" t="s">
        <v>29</v>
      </c>
      <c r="B15" s="314">
        <v>289</v>
      </c>
      <c r="C15" s="99">
        <f>ROUND(Load!$D$43+'2022'!$E$30*0.485/744,0)</f>
        <v>98</v>
      </c>
      <c r="D15" s="2">
        <f t="shared" si="0"/>
        <v>387</v>
      </c>
      <c r="E15" s="9" t="s">
        <v>29</v>
      </c>
      <c r="F15" s="2">
        <f>'Hoover with 30 MW Solar'!$B$39</f>
        <v>26</v>
      </c>
      <c r="G15" s="2">
        <v>35</v>
      </c>
      <c r="H15" s="2"/>
      <c r="I15" s="77"/>
      <c r="J15" s="78"/>
      <c r="K15" s="78">
        <v>100</v>
      </c>
      <c r="L15" s="78"/>
      <c r="M15" s="78">
        <v>50</v>
      </c>
      <c r="N15" s="78"/>
      <c r="O15" s="108"/>
      <c r="P15" s="108"/>
      <c r="Q15" s="108"/>
      <c r="R15" s="108"/>
      <c r="S15" s="108"/>
      <c r="T15" s="108"/>
      <c r="U15" s="109">
        <v>-12</v>
      </c>
      <c r="V15" s="2">
        <f t="shared" si="1"/>
        <v>199</v>
      </c>
      <c r="W15" s="10"/>
      <c r="X15" s="13">
        <f t="shared" si="2"/>
        <v>188</v>
      </c>
      <c r="Y15" s="10"/>
      <c r="Z15" s="14">
        <f t="shared" si="3"/>
        <v>116</v>
      </c>
      <c r="AA15" s="14">
        <f t="shared" si="14"/>
        <v>167</v>
      </c>
      <c r="AB15" s="2">
        <f t="shared" si="4"/>
        <v>283</v>
      </c>
      <c r="AC15" s="2">
        <f t="shared" si="5"/>
        <v>95</v>
      </c>
      <c r="AE15" s="9" t="s">
        <v>29</v>
      </c>
      <c r="AF15" s="2">
        <v>289</v>
      </c>
      <c r="AG15" s="99">
        <f>ROUND(Load!$D$43+'2022'!$E$30*0.485/744,0)</f>
        <v>98</v>
      </c>
      <c r="AH15" s="2">
        <f t="shared" si="6"/>
        <v>387</v>
      </c>
      <c r="AI15" s="9" t="s">
        <v>29</v>
      </c>
      <c r="AJ15" s="2">
        <f>'Hoover with 30 MW Solar'!$B$39</f>
        <v>26</v>
      </c>
      <c r="AK15" s="2">
        <v>35</v>
      </c>
      <c r="AL15" s="2"/>
      <c r="AM15" s="77"/>
      <c r="AN15" s="78"/>
      <c r="AO15" s="78">
        <v>100</v>
      </c>
      <c r="AP15" s="78">
        <v>50</v>
      </c>
      <c r="AQ15" s="78">
        <v>75</v>
      </c>
      <c r="AR15" s="78"/>
      <c r="AS15" s="108"/>
      <c r="AT15" s="108"/>
      <c r="AU15" s="108"/>
      <c r="AV15" s="108"/>
      <c r="AW15" s="108"/>
      <c r="AX15" s="108"/>
      <c r="AY15" s="109">
        <v>-12</v>
      </c>
      <c r="AZ15" s="2">
        <f t="shared" si="7"/>
        <v>274</v>
      </c>
      <c r="BA15" s="10"/>
      <c r="BB15" s="13">
        <f t="shared" si="8"/>
        <v>113</v>
      </c>
      <c r="BC15" s="10"/>
      <c r="BD15" s="14">
        <f t="shared" si="9"/>
        <v>116</v>
      </c>
      <c r="BE15" s="14">
        <f t="shared" si="13"/>
        <v>92</v>
      </c>
      <c r="BF15" s="2">
        <f t="shared" si="10"/>
        <v>208</v>
      </c>
      <c r="BG15" s="2">
        <f t="shared" si="11"/>
        <v>95</v>
      </c>
    </row>
    <row r="16" spans="1:59" x14ac:dyDescent="0.3">
      <c r="A16" s="9" t="s">
        <v>30</v>
      </c>
      <c r="B16" s="314">
        <v>289</v>
      </c>
      <c r="C16" s="99">
        <f>ROUND(Load!$D$43+'2022'!$E$30*0.485/744,0)</f>
        <v>98</v>
      </c>
      <c r="D16" s="2">
        <f t="shared" si="0"/>
        <v>387</v>
      </c>
      <c r="E16" s="9" t="s">
        <v>30</v>
      </c>
      <c r="F16" s="2">
        <f>'Hoover with 30 MW Solar'!$B$39</f>
        <v>26</v>
      </c>
      <c r="G16" s="2">
        <v>35</v>
      </c>
      <c r="H16" s="2"/>
      <c r="I16" s="77"/>
      <c r="J16" s="78"/>
      <c r="K16" s="78">
        <v>100</v>
      </c>
      <c r="L16" s="78"/>
      <c r="M16" s="78">
        <v>50</v>
      </c>
      <c r="N16" s="78"/>
      <c r="O16" s="108"/>
      <c r="P16" s="108"/>
      <c r="Q16" s="108"/>
      <c r="R16" s="108"/>
      <c r="S16" s="108"/>
      <c r="T16" s="108"/>
      <c r="U16" s="109">
        <v>-12</v>
      </c>
      <c r="V16" s="2">
        <f t="shared" si="1"/>
        <v>199</v>
      </c>
      <c r="W16" s="10"/>
      <c r="X16" s="13">
        <f t="shared" si="2"/>
        <v>188</v>
      </c>
      <c r="Y16" s="10"/>
      <c r="Z16" s="14">
        <f>142-F16-H16</f>
        <v>116</v>
      </c>
      <c r="AA16" s="14">
        <f t="shared" si="14"/>
        <v>167</v>
      </c>
      <c r="AB16" s="2">
        <f t="shared" si="4"/>
        <v>283</v>
      </c>
      <c r="AC16" s="2">
        <f t="shared" si="5"/>
        <v>95</v>
      </c>
      <c r="AE16" s="9" t="s">
        <v>30</v>
      </c>
      <c r="AF16" s="2">
        <v>289</v>
      </c>
      <c r="AG16" s="99">
        <f>ROUND(Load!$D$43+'2022'!$E$30*0.485/744,0)</f>
        <v>98</v>
      </c>
      <c r="AH16" s="2">
        <f t="shared" si="6"/>
        <v>387</v>
      </c>
      <c r="AI16" s="9" t="s">
        <v>30</v>
      </c>
      <c r="AJ16" s="2">
        <f>'Hoover with 30 MW Solar'!$B$39</f>
        <v>26</v>
      </c>
      <c r="AK16" s="2">
        <v>35</v>
      </c>
      <c r="AL16" s="2"/>
      <c r="AM16" s="77"/>
      <c r="AN16" s="78"/>
      <c r="AO16" s="78">
        <v>100</v>
      </c>
      <c r="AP16" s="78">
        <v>50</v>
      </c>
      <c r="AQ16" s="78">
        <v>75</v>
      </c>
      <c r="AR16" s="78"/>
      <c r="AS16" s="108"/>
      <c r="AT16" s="108"/>
      <c r="AU16" s="108"/>
      <c r="AV16" s="108"/>
      <c r="AW16" s="108"/>
      <c r="AX16" s="108"/>
      <c r="AY16" s="109">
        <v>-12</v>
      </c>
      <c r="AZ16" s="2">
        <f t="shared" si="7"/>
        <v>274</v>
      </c>
      <c r="BA16" s="10"/>
      <c r="BB16" s="13">
        <f t="shared" si="8"/>
        <v>113</v>
      </c>
      <c r="BC16" s="10"/>
      <c r="BD16" s="14">
        <f t="shared" si="9"/>
        <v>116</v>
      </c>
      <c r="BE16" s="14">
        <f t="shared" si="13"/>
        <v>92</v>
      </c>
      <c r="BF16" s="2">
        <f t="shared" si="10"/>
        <v>208</v>
      </c>
      <c r="BG16" s="2">
        <f t="shared" si="11"/>
        <v>95</v>
      </c>
    </row>
    <row r="17" spans="1:59" x14ac:dyDescent="0.3">
      <c r="A17" s="9" t="s">
        <v>31</v>
      </c>
      <c r="B17" s="314">
        <v>289</v>
      </c>
      <c r="C17" s="99">
        <f>ROUND(Load!$D$43+'2022'!$E$30*0.485/744,0)</f>
        <v>98</v>
      </c>
      <c r="D17" s="2">
        <f t="shared" si="0"/>
        <v>387</v>
      </c>
      <c r="E17" s="9" t="s">
        <v>31</v>
      </c>
      <c r="F17" s="2">
        <f>'Hoover with 30 MW Solar'!$B$39</f>
        <v>26</v>
      </c>
      <c r="G17" s="2">
        <v>35</v>
      </c>
      <c r="H17" s="2"/>
      <c r="I17" s="77"/>
      <c r="J17" s="78"/>
      <c r="K17" s="78">
        <v>100</v>
      </c>
      <c r="L17" s="78"/>
      <c r="M17" s="78">
        <v>50</v>
      </c>
      <c r="N17" s="78"/>
      <c r="O17" s="108"/>
      <c r="P17" s="108"/>
      <c r="Q17" s="108"/>
      <c r="R17" s="108"/>
      <c r="S17" s="108"/>
      <c r="T17" s="108"/>
      <c r="U17" s="109">
        <v>-12</v>
      </c>
      <c r="V17" s="2">
        <f t="shared" si="1"/>
        <v>199</v>
      </c>
      <c r="W17" s="10"/>
      <c r="X17" s="13">
        <f t="shared" si="2"/>
        <v>188</v>
      </c>
      <c r="Y17" s="10"/>
      <c r="Z17" s="14">
        <f t="shared" si="3"/>
        <v>116</v>
      </c>
      <c r="AA17" s="14">
        <f t="shared" si="14"/>
        <v>167</v>
      </c>
      <c r="AB17" s="2">
        <f t="shared" si="4"/>
        <v>283</v>
      </c>
      <c r="AC17" s="2">
        <f t="shared" si="5"/>
        <v>95</v>
      </c>
      <c r="AE17" s="9" t="s">
        <v>31</v>
      </c>
      <c r="AF17" s="2">
        <v>289</v>
      </c>
      <c r="AG17" s="99">
        <f>ROUND(Load!$D$43+'2022'!$E$30*0.485/744,0)</f>
        <v>98</v>
      </c>
      <c r="AH17" s="2">
        <f t="shared" si="6"/>
        <v>387</v>
      </c>
      <c r="AI17" s="9" t="s">
        <v>31</v>
      </c>
      <c r="AJ17" s="2">
        <f>'Hoover with 30 MW Solar'!$B$39</f>
        <v>26</v>
      </c>
      <c r="AK17" s="2">
        <v>35</v>
      </c>
      <c r="AL17" s="2"/>
      <c r="AM17" s="77"/>
      <c r="AN17" s="78"/>
      <c r="AO17" s="78">
        <v>100</v>
      </c>
      <c r="AP17" s="78">
        <v>50</v>
      </c>
      <c r="AQ17" s="78">
        <v>75</v>
      </c>
      <c r="AR17" s="78"/>
      <c r="AS17" s="108"/>
      <c r="AT17" s="108"/>
      <c r="AU17" s="108"/>
      <c r="AV17" s="108"/>
      <c r="AW17" s="108"/>
      <c r="AX17" s="108"/>
      <c r="AY17" s="109">
        <v>-12</v>
      </c>
      <c r="AZ17" s="2">
        <f t="shared" si="7"/>
        <v>274</v>
      </c>
      <c r="BA17" s="10"/>
      <c r="BB17" s="13">
        <f t="shared" si="8"/>
        <v>113</v>
      </c>
      <c r="BC17" s="10"/>
      <c r="BD17" s="14">
        <f>142-AJ17-AL17</f>
        <v>116</v>
      </c>
      <c r="BE17" s="14">
        <f t="shared" si="13"/>
        <v>92</v>
      </c>
      <c r="BF17" s="2">
        <f t="shared" si="10"/>
        <v>208</v>
      </c>
      <c r="BG17" s="2">
        <f t="shared" si="11"/>
        <v>95</v>
      </c>
    </row>
    <row r="18" spans="1:59" x14ac:dyDescent="0.3">
      <c r="A18" s="9" t="s">
        <v>32</v>
      </c>
      <c r="B18" s="314">
        <v>289</v>
      </c>
      <c r="C18" s="99">
        <f>ROUND(Load!$D$43+'2022'!$E$30*0.485/744,0)</f>
        <v>98</v>
      </c>
      <c r="D18" s="2">
        <f t="shared" si="0"/>
        <v>387</v>
      </c>
      <c r="E18" s="9" t="s">
        <v>32</v>
      </c>
      <c r="F18" s="2">
        <f>'Hoover with 30 MW Solar'!$B$39</f>
        <v>26</v>
      </c>
      <c r="G18" s="2">
        <v>35</v>
      </c>
      <c r="H18" s="2"/>
      <c r="I18" s="77"/>
      <c r="J18" s="78"/>
      <c r="K18" s="78">
        <v>100</v>
      </c>
      <c r="L18" s="78"/>
      <c r="M18" s="78">
        <v>50</v>
      </c>
      <c r="N18" s="78"/>
      <c r="O18" s="108"/>
      <c r="P18" s="108"/>
      <c r="Q18" s="108"/>
      <c r="R18" s="108"/>
      <c r="S18" s="108"/>
      <c r="T18" s="108"/>
      <c r="U18" s="109">
        <v>-12</v>
      </c>
      <c r="V18" s="2">
        <f t="shared" si="1"/>
        <v>199</v>
      </c>
      <c r="W18" s="10"/>
      <c r="X18" s="13">
        <f t="shared" si="2"/>
        <v>188</v>
      </c>
      <c r="Y18" s="10"/>
      <c r="Z18" s="14">
        <f t="shared" si="3"/>
        <v>116</v>
      </c>
      <c r="AA18" s="14">
        <f t="shared" si="14"/>
        <v>167</v>
      </c>
      <c r="AB18" s="2">
        <f t="shared" si="4"/>
        <v>283</v>
      </c>
      <c r="AC18" s="2">
        <f t="shared" si="5"/>
        <v>95</v>
      </c>
      <c r="AE18" s="9" t="s">
        <v>32</v>
      </c>
      <c r="AF18" s="2">
        <v>289</v>
      </c>
      <c r="AG18" s="99">
        <f>ROUND(Load!$D$43+'2022'!$E$30*0.485/744,0)</f>
        <v>98</v>
      </c>
      <c r="AH18" s="2">
        <f t="shared" si="6"/>
        <v>387</v>
      </c>
      <c r="AI18" s="9" t="s">
        <v>32</v>
      </c>
      <c r="AJ18" s="2">
        <f>'Hoover with 30 MW Solar'!$B$39</f>
        <v>26</v>
      </c>
      <c r="AK18" s="2">
        <v>35</v>
      </c>
      <c r="AL18" s="2"/>
      <c r="AM18" s="77"/>
      <c r="AN18" s="78"/>
      <c r="AO18" s="78">
        <v>100</v>
      </c>
      <c r="AP18" s="78">
        <v>50</v>
      </c>
      <c r="AQ18" s="78">
        <v>75</v>
      </c>
      <c r="AR18" s="78"/>
      <c r="AS18" s="108"/>
      <c r="AT18" s="108"/>
      <c r="AU18" s="108"/>
      <c r="AV18" s="108"/>
      <c r="AW18" s="108"/>
      <c r="AX18" s="108"/>
      <c r="AY18" s="109">
        <v>-12</v>
      </c>
      <c r="AZ18" s="2">
        <f t="shared" si="7"/>
        <v>274</v>
      </c>
      <c r="BA18" s="10"/>
      <c r="BB18" s="13">
        <f t="shared" si="8"/>
        <v>113</v>
      </c>
      <c r="BC18" s="10"/>
      <c r="BD18" s="14">
        <f t="shared" si="9"/>
        <v>116</v>
      </c>
      <c r="BE18" s="14">
        <f t="shared" si="13"/>
        <v>92</v>
      </c>
      <c r="BF18" s="2">
        <f t="shared" si="10"/>
        <v>208</v>
      </c>
      <c r="BG18" s="2">
        <f t="shared" si="11"/>
        <v>95</v>
      </c>
    </row>
    <row r="19" spans="1:59" x14ac:dyDescent="0.3">
      <c r="A19" s="9" t="s">
        <v>33</v>
      </c>
      <c r="B19" s="314"/>
      <c r="C19" s="99">
        <f>ROUND(Load!$D$43+'2022'!$E$30*0.485/744,0)</f>
        <v>98</v>
      </c>
      <c r="D19" s="2">
        <f t="shared" si="0"/>
        <v>98</v>
      </c>
      <c r="E19" s="9" t="s">
        <v>33</v>
      </c>
      <c r="F19" s="2">
        <f>'Hoover with 30 MW Solar'!$B$39</f>
        <v>26</v>
      </c>
      <c r="G19" s="2">
        <v>35</v>
      </c>
      <c r="H19" s="2"/>
      <c r="I19" s="77"/>
      <c r="J19" s="78"/>
      <c r="K19" s="78">
        <v>100</v>
      </c>
      <c r="L19" s="78"/>
      <c r="M19" s="78">
        <v>50</v>
      </c>
      <c r="N19" s="78"/>
      <c r="O19" s="108"/>
      <c r="P19" s="108"/>
      <c r="Q19" s="108"/>
      <c r="R19" s="108"/>
      <c r="S19" s="108"/>
      <c r="T19" s="108"/>
      <c r="U19" s="109">
        <v>-12</v>
      </c>
      <c r="V19" s="2">
        <f t="shared" si="1"/>
        <v>199</v>
      </c>
      <c r="W19" s="10"/>
      <c r="X19" s="13">
        <f t="shared" si="2"/>
        <v>-101</v>
      </c>
      <c r="Y19" s="10"/>
      <c r="Z19" s="14">
        <f t="shared" si="3"/>
        <v>116</v>
      </c>
      <c r="AA19" s="14">
        <f t="shared" si="14"/>
        <v>167</v>
      </c>
      <c r="AB19" s="2">
        <f t="shared" si="4"/>
        <v>283</v>
      </c>
      <c r="AC19" s="2">
        <f t="shared" si="5"/>
        <v>384</v>
      </c>
      <c r="AE19" s="9" t="s">
        <v>33</v>
      </c>
      <c r="AF19" s="2">
        <v>98</v>
      </c>
      <c r="AG19" s="99">
        <f>ROUND(Load!$D$43+'2022'!$E$30*0.485/744,0)</f>
        <v>98</v>
      </c>
      <c r="AH19" s="2">
        <f t="shared" si="6"/>
        <v>196</v>
      </c>
      <c r="AI19" s="9" t="s">
        <v>33</v>
      </c>
      <c r="AJ19" s="2">
        <f>'Hoover with 30 MW Solar'!$B$39</f>
        <v>26</v>
      </c>
      <c r="AK19" s="2">
        <v>35</v>
      </c>
      <c r="AL19" s="2"/>
      <c r="AM19" s="77"/>
      <c r="AN19" s="78"/>
      <c r="AO19" s="78">
        <v>100</v>
      </c>
      <c r="AP19" s="78">
        <v>50</v>
      </c>
      <c r="AQ19" s="78">
        <v>75</v>
      </c>
      <c r="AR19" s="78"/>
      <c r="AS19" s="108"/>
      <c r="AT19" s="108"/>
      <c r="AU19" s="108"/>
      <c r="AV19" s="108"/>
      <c r="AW19" s="108"/>
      <c r="AX19" s="108"/>
      <c r="AY19" s="109">
        <v>-12</v>
      </c>
      <c r="AZ19" s="2">
        <f t="shared" si="7"/>
        <v>274</v>
      </c>
      <c r="BA19" s="10"/>
      <c r="BB19" s="13">
        <f t="shared" si="8"/>
        <v>-78</v>
      </c>
      <c r="BC19" s="10"/>
      <c r="BD19" s="14">
        <f t="shared" si="9"/>
        <v>116</v>
      </c>
      <c r="BE19" s="14">
        <f t="shared" si="13"/>
        <v>92</v>
      </c>
      <c r="BF19" s="2">
        <f t="shared" si="10"/>
        <v>208</v>
      </c>
      <c r="BG19" s="2">
        <f t="shared" si="11"/>
        <v>286</v>
      </c>
    </row>
    <row r="20" spans="1:59" x14ac:dyDescent="0.3">
      <c r="A20" s="9" t="s">
        <v>34</v>
      </c>
      <c r="B20" s="314"/>
      <c r="C20" s="99">
        <f>ROUND(Load!$D$43+'2022'!$E$30*0.485/744,0)</f>
        <v>98</v>
      </c>
      <c r="D20" s="2">
        <f t="shared" si="0"/>
        <v>98</v>
      </c>
      <c r="E20" s="9" t="s">
        <v>34</v>
      </c>
      <c r="F20" s="2">
        <f>'Hoover with 30 MW Solar'!$B$39</f>
        <v>26</v>
      </c>
      <c r="G20" s="2">
        <v>35</v>
      </c>
      <c r="H20" s="2"/>
      <c r="I20" s="77"/>
      <c r="J20" s="78"/>
      <c r="K20" s="78">
        <v>100</v>
      </c>
      <c r="L20" s="78"/>
      <c r="M20" s="78">
        <v>50</v>
      </c>
      <c r="N20" s="78"/>
      <c r="O20" s="108"/>
      <c r="P20" s="108"/>
      <c r="Q20" s="108"/>
      <c r="R20" s="108"/>
      <c r="S20" s="108"/>
      <c r="T20" s="108"/>
      <c r="U20" s="109">
        <v>-12</v>
      </c>
      <c r="V20" s="2">
        <f t="shared" si="1"/>
        <v>199</v>
      </c>
      <c r="W20" s="10"/>
      <c r="X20" s="13">
        <f t="shared" si="2"/>
        <v>-101</v>
      </c>
      <c r="Y20" s="10"/>
      <c r="Z20" s="14">
        <f t="shared" si="3"/>
        <v>116</v>
      </c>
      <c r="AA20" s="14">
        <f t="shared" si="14"/>
        <v>167</v>
      </c>
      <c r="AB20" s="2">
        <f t="shared" si="4"/>
        <v>283</v>
      </c>
      <c r="AC20" s="2">
        <f t="shared" si="5"/>
        <v>384</v>
      </c>
      <c r="AE20" s="9" t="s">
        <v>34</v>
      </c>
      <c r="AF20" s="2"/>
      <c r="AG20" s="99">
        <f>ROUND(Load!$D$43+'2022'!$E$30*0.485/744,0)</f>
        <v>98</v>
      </c>
      <c r="AH20" s="2">
        <f t="shared" si="6"/>
        <v>98</v>
      </c>
      <c r="AI20" s="9" t="s">
        <v>34</v>
      </c>
      <c r="AJ20" s="2">
        <f>'Hoover with 30 MW Solar'!$B$39</f>
        <v>26</v>
      </c>
      <c r="AK20" s="2">
        <v>35</v>
      </c>
      <c r="AL20" s="2"/>
      <c r="AM20" s="77"/>
      <c r="AN20" s="78"/>
      <c r="AO20" s="78">
        <v>100</v>
      </c>
      <c r="AP20" s="78">
        <v>50</v>
      </c>
      <c r="AQ20" s="78">
        <v>75</v>
      </c>
      <c r="AR20" s="78"/>
      <c r="AS20" s="108"/>
      <c r="AT20" s="108"/>
      <c r="AU20" s="108"/>
      <c r="AV20" s="108"/>
      <c r="AW20" s="108"/>
      <c r="AX20" s="108"/>
      <c r="AY20" s="109">
        <v>-12</v>
      </c>
      <c r="AZ20" s="2">
        <f t="shared" si="7"/>
        <v>274</v>
      </c>
      <c r="BA20" s="10"/>
      <c r="BB20" s="13">
        <f t="shared" si="8"/>
        <v>-176</v>
      </c>
      <c r="BC20" s="10"/>
      <c r="BD20" s="14">
        <f t="shared" si="9"/>
        <v>116</v>
      </c>
      <c r="BE20" s="14">
        <f t="shared" si="13"/>
        <v>92</v>
      </c>
      <c r="BF20" s="2">
        <f t="shared" si="10"/>
        <v>208</v>
      </c>
      <c r="BG20" s="2">
        <f t="shared" si="11"/>
        <v>384</v>
      </c>
    </row>
    <row r="21" spans="1:59" x14ac:dyDescent="0.3">
      <c r="A21" s="9" t="s">
        <v>35</v>
      </c>
      <c r="B21" s="2"/>
      <c r="C21" s="99">
        <f>ROUND(Load!$D$43+'2022'!$E$30*0.485/744,0)</f>
        <v>98</v>
      </c>
      <c r="D21" s="2">
        <f t="shared" si="0"/>
        <v>98</v>
      </c>
      <c r="E21" s="9" t="s">
        <v>35</v>
      </c>
      <c r="F21" s="2">
        <f>'Hoover with 30 MW Solar'!$B$39</f>
        <v>26</v>
      </c>
      <c r="G21" s="2">
        <v>35</v>
      </c>
      <c r="H21" s="2">
        <v>30</v>
      </c>
      <c r="I21" s="77"/>
      <c r="J21" s="78"/>
      <c r="K21" s="78">
        <v>100</v>
      </c>
      <c r="L21" s="78"/>
      <c r="M21" s="78">
        <v>50</v>
      </c>
      <c r="N21" s="78"/>
      <c r="O21" s="108"/>
      <c r="P21" s="108"/>
      <c r="Q21" s="108"/>
      <c r="R21" s="108"/>
      <c r="S21" s="108"/>
      <c r="T21" s="108"/>
      <c r="U21" s="109">
        <v>-12</v>
      </c>
      <c r="V21" s="2">
        <f t="shared" si="1"/>
        <v>229</v>
      </c>
      <c r="W21" s="10"/>
      <c r="X21" s="13">
        <f t="shared" si="2"/>
        <v>-131</v>
      </c>
      <c r="Y21" s="10"/>
      <c r="Z21" s="14">
        <f t="shared" si="3"/>
        <v>86</v>
      </c>
      <c r="AA21" s="14">
        <f t="shared" si="14"/>
        <v>167</v>
      </c>
      <c r="AB21" s="2">
        <f t="shared" si="4"/>
        <v>253</v>
      </c>
      <c r="AC21" s="2">
        <f t="shared" si="5"/>
        <v>384</v>
      </c>
      <c r="AE21" s="9" t="s">
        <v>35</v>
      </c>
      <c r="AF21" s="2"/>
      <c r="AG21" s="99">
        <f>ROUND(Load!$D$43+'2022'!$E$30*0.485/744,0)</f>
        <v>98</v>
      </c>
      <c r="AH21" s="2">
        <f t="shared" si="6"/>
        <v>98</v>
      </c>
      <c r="AI21" s="9" t="s">
        <v>35</v>
      </c>
      <c r="AJ21" s="2">
        <f>'Hoover with 30 MW Solar'!$B$39</f>
        <v>26</v>
      </c>
      <c r="AK21" s="2">
        <v>35</v>
      </c>
      <c r="AL21" s="314">
        <v>30</v>
      </c>
      <c r="AM21" s="77"/>
      <c r="AN21" s="78"/>
      <c r="AO21" s="78">
        <v>100</v>
      </c>
      <c r="AP21" s="78">
        <v>50</v>
      </c>
      <c r="AQ21" s="78">
        <v>75</v>
      </c>
      <c r="AR21" s="78"/>
      <c r="AS21" s="108"/>
      <c r="AT21" s="108"/>
      <c r="AU21" s="108"/>
      <c r="AV21" s="108"/>
      <c r="AW21" s="108"/>
      <c r="AX21" s="108"/>
      <c r="AY21" s="109">
        <v>-12</v>
      </c>
      <c r="AZ21" s="2">
        <f t="shared" si="7"/>
        <v>304</v>
      </c>
      <c r="BA21" s="10"/>
      <c r="BB21" s="13">
        <f t="shared" si="8"/>
        <v>-206</v>
      </c>
      <c r="BC21" s="10"/>
      <c r="BD21" s="14">
        <f t="shared" si="9"/>
        <v>86</v>
      </c>
      <c r="BE21" s="14">
        <f t="shared" si="13"/>
        <v>92</v>
      </c>
      <c r="BF21" s="2">
        <f t="shared" si="10"/>
        <v>178</v>
      </c>
      <c r="BG21" s="2">
        <f t="shared" si="11"/>
        <v>384</v>
      </c>
    </row>
    <row r="22" spans="1:59" x14ac:dyDescent="0.3">
      <c r="A22" s="9" t="s">
        <v>36</v>
      </c>
      <c r="B22" s="2"/>
      <c r="C22" s="99">
        <f>ROUND(Load!$D$43+'2022'!$E$30*0.485/744,0)</f>
        <v>98</v>
      </c>
      <c r="D22" s="2">
        <f t="shared" si="0"/>
        <v>98</v>
      </c>
      <c r="E22" s="9" t="s">
        <v>36</v>
      </c>
      <c r="F22" s="2">
        <f>'Hoover with 30 MW Solar'!$B$39</f>
        <v>26</v>
      </c>
      <c r="G22" s="2">
        <v>35</v>
      </c>
      <c r="H22" s="314">
        <v>30</v>
      </c>
      <c r="I22" s="77"/>
      <c r="J22" s="78"/>
      <c r="K22" s="78">
        <v>100</v>
      </c>
      <c r="L22" s="78"/>
      <c r="M22" s="78">
        <v>50</v>
      </c>
      <c r="N22" s="78"/>
      <c r="O22" s="108"/>
      <c r="P22" s="108"/>
      <c r="Q22" s="108"/>
      <c r="R22" s="108"/>
      <c r="S22" s="108"/>
      <c r="T22" s="108"/>
      <c r="U22" s="109">
        <v>-12</v>
      </c>
      <c r="V22" s="2">
        <f t="shared" si="1"/>
        <v>229</v>
      </c>
      <c r="W22" s="10"/>
      <c r="X22" s="13">
        <f t="shared" si="2"/>
        <v>-131</v>
      </c>
      <c r="Y22" s="10"/>
      <c r="Z22" s="14">
        <f t="shared" si="3"/>
        <v>86</v>
      </c>
      <c r="AA22" s="14">
        <f t="shared" si="14"/>
        <v>167</v>
      </c>
      <c r="AB22" s="2">
        <f t="shared" si="4"/>
        <v>253</v>
      </c>
      <c r="AC22" s="2">
        <f t="shared" si="5"/>
        <v>384</v>
      </c>
      <c r="AE22" s="9" t="s">
        <v>36</v>
      </c>
      <c r="AF22" s="2"/>
      <c r="AG22" s="99">
        <f>ROUND(Load!$D$43+'2022'!$E$30*0.485/744,0)</f>
        <v>98</v>
      </c>
      <c r="AH22" s="2">
        <f t="shared" si="6"/>
        <v>98</v>
      </c>
      <c r="AI22" s="9" t="s">
        <v>36</v>
      </c>
      <c r="AJ22" s="2">
        <f>'Hoover with 30 MW Solar'!$B$39</f>
        <v>26</v>
      </c>
      <c r="AK22" s="2">
        <v>35</v>
      </c>
      <c r="AL22" s="314">
        <v>30</v>
      </c>
      <c r="AM22" s="77"/>
      <c r="AN22" s="78"/>
      <c r="AO22" s="78">
        <v>100</v>
      </c>
      <c r="AP22" s="78">
        <v>50</v>
      </c>
      <c r="AQ22" s="78">
        <v>75</v>
      </c>
      <c r="AR22" s="78"/>
      <c r="AS22" s="108"/>
      <c r="AT22" s="108"/>
      <c r="AU22" s="108"/>
      <c r="AV22" s="108"/>
      <c r="AW22" s="108"/>
      <c r="AX22" s="108"/>
      <c r="AY22" s="109">
        <v>-12</v>
      </c>
      <c r="AZ22" s="2">
        <f t="shared" si="7"/>
        <v>304</v>
      </c>
      <c r="BA22" s="10"/>
      <c r="BB22" s="13">
        <f t="shared" si="8"/>
        <v>-206</v>
      </c>
      <c r="BC22" s="10"/>
      <c r="BD22" s="14">
        <f t="shared" si="9"/>
        <v>86</v>
      </c>
      <c r="BE22" s="14">
        <f t="shared" si="13"/>
        <v>92</v>
      </c>
      <c r="BF22" s="2">
        <f t="shared" si="10"/>
        <v>178</v>
      </c>
      <c r="BG22" s="2">
        <f t="shared" si="11"/>
        <v>384</v>
      </c>
    </row>
    <row r="23" spans="1:59" x14ac:dyDescent="0.3">
      <c r="A23" s="9" t="s">
        <v>37</v>
      </c>
      <c r="B23" s="2"/>
      <c r="C23" s="99">
        <f>ROUND(Load!$D$43+'2022'!$E$30*0.485/744,0)</f>
        <v>98</v>
      </c>
      <c r="D23" s="2">
        <f t="shared" si="0"/>
        <v>98</v>
      </c>
      <c r="E23" s="9" t="s">
        <v>37</v>
      </c>
      <c r="F23" s="2">
        <f>'Hoover with 30 MW Solar'!$B$39</f>
        <v>26</v>
      </c>
      <c r="G23" s="2">
        <v>35</v>
      </c>
      <c r="H23" s="314">
        <v>30</v>
      </c>
      <c r="I23" s="77"/>
      <c r="J23" s="78"/>
      <c r="K23" s="78">
        <v>100</v>
      </c>
      <c r="L23" s="78"/>
      <c r="M23" s="78">
        <v>50</v>
      </c>
      <c r="N23" s="78"/>
      <c r="O23" s="108"/>
      <c r="P23" s="108"/>
      <c r="Q23" s="108"/>
      <c r="R23" s="108"/>
      <c r="S23" s="108"/>
      <c r="T23" s="108"/>
      <c r="U23" s="109">
        <v>-12</v>
      </c>
      <c r="V23" s="2">
        <f t="shared" si="1"/>
        <v>229</v>
      </c>
      <c r="W23" s="10"/>
      <c r="X23" s="13">
        <f t="shared" si="2"/>
        <v>-131</v>
      </c>
      <c r="Y23" s="10"/>
      <c r="Z23" s="14">
        <f t="shared" si="3"/>
        <v>86</v>
      </c>
      <c r="AA23" s="14">
        <f t="shared" si="14"/>
        <v>167</v>
      </c>
      <c r="AB23" s="2">
        <f t="shared" si="4"/>
        <v>253</v>
      </c>
      <c r="AC23" s="2">
        <f t="shared" si="5"/>
        <v>384</v>
      </c>
      <c r="AE23" s="9" t="s">
        <v>37</v>
      </c>
      <c r="AF23" s="2"/>
      <c r="AG23" s="99">
        <f>ROUND(Load!$D$43+'2022'!$E$30*0.485/744,0)</f>
        <v>98</v>
      </c>
      <c r="AH23" s="2">
        <f t="shared" si="6"/>
        <v>98</v>
      </c>
      <c r="AI23" s="9" t="s">
        <v>37</v>
      </c>
      <c r="AJ23" s="2">
        <f>'Hoover with 30 MW Solar'!$B$39</f>
        <v>26</v>
      </c>
      <c r="AK23" s="2">
        <v>35</v>
      </c>
      <c r="AL23" s="314">
        <v>30</v>
      </c>
      <c r="AM23" s="77"/>
      <c r="AN23" s="78"/>
      <c r="AO23" s="78">
        <v>100</v>
      </c>
      <c r="AP23" s="78">
        <v>50</v>
      </c>
      <c r="AQ23" s="78">
        <v>75</v>
      </c>
      <c r="AR23" s="78"/>
      <c r="AS23" s="108"/>
      <c r="AT23" s="108"/>
      <c r="AU23" s="108"/>
      <c r="AV23" s="108"/>
      <c r="AW23" s="108"/>
      <c r="AX23" s="108"/>
      <c r="AY23" s="109">
        <v>-12</v>
      </c>
      <c r="AZ23" s="2">
        <f t="shared" si="7"/>
        <v>304</v>
      </c>
      <c r="BA23" s="10"/>
      <c r="BB23" s="13">
        <f t="shared" si="8"/>
        <v>-206</v>
      </c>
      <c r="BC23" s="10"/>
      <c r="BD23" s="14">
        <f t="shared" si="9"/>
        <v>86</v>
      </c>
      <c r="BE23" s="14">
        <f t="shared" si="13"/>
        <v>92</v>
      </c>
      <c r="BF23" s="2">
        <f t="shared" si="10"/>
        <v>178</v>
      </c>
      <c r="BG23" s="2">
        <f t="shared" si="11"/>
        <v>384</v>
      </c>
    </row>
    <row r="24" spans="1:59" x14ac:dyDescent="0.3">
      <c r="A24" s="9" t="s">
        <v>38</v>
      </c>
      <c r="B24" s="2"/>
      <c r="C24" s="99">
        <f>ROUND(Load!$D$43+'2022'!$E$30*0.485/744,0)</f>
        <v>98</v>
      </c>
      <c r="D24" s="2">
        <f t="shared" si="0"/>
        <v>98</v>
      </c>
      <c r="E24" s="9" t="s">
        <v>38</v>
      </c>
      <c r="F24" s="2">
        <f>'Hoover with 30 MW Solar'!$B$39</f>
        <v>26</v>
      </c>
      <c r="G24" s="2">
        <v>35</v>
      </c>
      <c r="H24" s="314">
        <v>31</v>
      </c>
      <c r="I24" s="77"/>
      <c r="J24" s="78"/>
      <c r="K24" s="78">
        <v>100</v>
      </c>
      <c r="L24" s="78"/>
      <c r="M24" s="78">
        <v>50</v>
      </c>
      <c r="N24" s="78"/>
      <c r="O24" s="108"/>
      <c r="P24" s="108"/>
      <c r="Q24" s="108"/>
      <c r="R24" s="108"/>
      <c r="S24" s="108"/>
      <c r="T24" s="108"/>
      <c r="U24" s="109">
        <v>-12</v>
      </c>
      <c r="V24" s="2">
        <f t="shared" si="1"/>
        <v>230</v>
      </c>
      <c r="W24" s="10"/>
      <c r="X24" s="13">
        <f t="shared" si="2"/>
        <v>-132</v>
      </c>
      <c r="Y24" s="10"/>
      <c r="Z24" s="14">
        <f t="shared" si="3"/>
        <v>85</v>
      </c>
      <c r="AA24" s="14">
        <f t="shared" si="14"/>
        <v>167</v>
      </c>
      <c r="AB24" s="2">
        <f t="shared" si="4"/>
        <v>252</v>
      </c>
      <c r="AC24" s="2">
        <f t="shared" si="5"/>
        <v>384</v>
      </c>
      <c r="AE24" s="9" t="s">
        <v>38</v>
      </c>
      <c r="AF24" s="2"/>
      <c r="AG24" s="99">
        <f>ROUND(Load!$D$43+'2022'!$E$30*0.485/744,0)</f>
        <v>98</v>
      </c>
      <c r="AH24" s="2">
        <f t="shared" si="6"/>
        <v>98</v>
      </c>
      <c r="AI24" s="9" t="s">
        <v>38</v>
      </c>
      <c r="AJ24" s="2">
        <f>'Hoover with 30 MW Solar'!$B$39</f>
        <v>26</v>
      </c>
      <c r="AK24" s="2">
        <v>35</v>
      </c>
      <c r="AL24" s="314">
        <v>31</v>
      </c>
      <c r="AM24" s="77"/>
      <c r="AN24" s="78"/>
      <c r="AO24" s="78">
        <v>100</v>
      </c>
      <c r="AP24" s="78">
        <v>50</v>
      </c>
      <c r="AQ24" s="78">
        <v>75</v>
      </c>
      <c r="AR24" s="78"/>
      <c r="AS24" s="108"/>
      <c r="AT24" s="108"/>
      <c r="AU24" s="108"/>
      <c r="AV24" s="108"/>
      <c r="AW24" s="108"/>
      <c r="AX24" s="108"/>
      <c r="AY24" s="109">
        <v>-12</v>
      </c>
      <c r="AZ24" s="2">
        <f t="shared" si="7"/>
        <v>305</v>
      </c>
      <c r="BA24" s="10"/>
      <c r="BB24" s="13">
        <f t="shared" si="8"/>
        <v>-207</v>
      </c>
      <c r="BC24" s="10"/>
      <c r="BD24" s="14">
        <f t="shared" si="9"/>
        <v>85</v>
      </c>
      <c r="BE24" s="14">
        <f t="shared" si="13"/>
        <v>92</v>
      </c>
      <c r="BF24" s="2">
        <f t="shared" si="10"/>
        <v>177</v>
      </c>
      <c r="BG24" s="2">
        <f t="shared" si="11"/>
        <v>384</v>
      </c>
    </row>
    <row r="25" spans="1:59" x14ac:dyDescent="0.3">
      <c r="A25" s="9" t="s">
        <v>39</v>
      </c>
      <c r="B25" s="2"/>
      <c r="C25" s="99">
        <f>ROUND(Load!$D$43+'2022'!$E$30*0.485/744,0)</f>
        <v>98</v>
      </c>
      <c r="D25" s="2">
        <f t="shared" si="0"/>
        <v>98</v>
      </c>
      <c r="E25" s="9" t="s">
        <v>39</v>
      </c>
      <c r="F25" s="2">
        <f>'Hoover with 30 MW Solar'!$B$39</f>
        <v>26</v>
      </c>
      <c r="G25" s="2">
        <v>35</v>
      </c>
      <c r="H25" s="314">
        <v>30</v>
      </c>
      <c r="I25" s="77"/>
      <c r="J25" s="78"/>
      <c r="K25" s="78">
        <v>100</v>
      </c>
      <c r="L25" s="78"/>
      <c r="M25" s="78">
        <v>50</v>
      </c>
      <c r="N25" s="78"/>
      <c r="O25" s="108"/>
      <c r="P25" s="108"/>
      <c r="Q25" s="108"/>
      <c r="R25" s="108"/>
      <c r="S25" s="108"/>
      <c r="T25" s="108"/>
      <c r="U25" s="109">
        <v>-12</v>
      </c>
      <c r="V25" s="2">
        <f t="shared" si="1"/>
        <v>229</v>
      </c>
      <c r="W25" s="10"/>
      <c r="X25" s="13">
        <f t="shared" si="2"/>
        <v>-131</v>
      </c>
      <c r="Y25" s="10"/>
      <c r="Z25" s="14">
        <f>142-F25-H25</f>
        <v>86</v>
      </c>
      <c r="AA25" s="14">
        <f t="shared" si="14"/>
        <v>167</v>
      </c>
      <c r="AB25" s="2">
        <f t="shared" si="4"/>
        <v>253</v>
      </c>
      <c r="AC25" s="2">
        <f t="shared" si="5"/>
        <v>384</v>
      </c>
      <c r="AE25" s="9" t="s">
        <v>39</v>
      </c>
      <c r="AF25" s="2"/>
      <c r="AG25" s="99">
        <f>ROUND(Load!$D$43+'2022'!$E$30*0.485/744,0)</f>
        <v>98</v>
      </c>
      <c r="AH25" s="2">
        <f t="shared" si="6"/>
        <v>98</v>
      </c>
      <c r="AI25" s="9" t="s">
        <v>39</v>
      </c>
      <c r="AJ25" s="2">
        <f>'Hoover with 30 MW Solar'!$B$39</f>
        <v>26</v>
      </c>
      <c r="AK25" s="2">
        <v>35</v>
      </c>
      <c r="AL25" s="314">
        <v>30</v>
      </c>
      <c r="AM25" s="77"/>
      <c r="AN25" s="78"/>
      <c r="AO25" s="78">
        <v>100</v>
      </c>
      <c r="AP25" s="78">
        <v>50</v>
      </c>
      <c r="AQ25" s="78">
        <v>75</v>
      </c>
      <c r="AR25" s="78"/>
      <c r="AS25" s="108"/>
      <c r="AT25" s="108"/>
      <c r="AU25" s="108"/>
      <c r="AV25" s="108"/>
      <c r="AW25" s="108"/>
      <c r="AX25" s="108"/>
      <c r="AY25" s="109">
        <v>-12</v>
      </c>
      <c r="AZ25" s="2">
        <f t="shared" si="7"/>
        <v>304</v>
      </c>
      <c r="BA25" s="10"/>
      <c r="BB25" s="13">
        <f t="shared" si="8"/>
        <v>-206</v>
      </c>
      <c r="BC25" s="10"/>
      <c r="BD25" s="14">
        <f t="shared" si="9"/>
        <v>86</v>
      </c>
      <c r="BE25" s="14">
        <f t="shared" si="13"/>
        <v>92</v>
      </c>
      <c r="BF25" s="2">
        <f t="shared" si="10"/>
        <v>178</v>
      </c>
      <c r="BG25" s="2">
        <f t="shared" si="11"/>
        <v>384</v>
      </c>
    </row>
    <row r="26" spans="1:59" x14ac:dyDescent="0.3">
      <c r="A26" s="9" t="s">
        <v>40</v>
      </c>
      <c r="B26" s="2"/>
      <c r="C26" s="99">
        <f>ROUND(Load!$D$43+'2022'!$E$30*0.485/744,0)</f>
        <v>98</v>
      </c>
      <c r="D26" s="2">
        <f t="shared" si="0"/>
        <v>98</v>
      </c>
      <c r="E26" s="9" t="s">
        <v>40</v>
      </c>
      <c r="F26" s="2">
        <f>'Hoover with 30 MW Solar'!$B$39</f>
        <v>26</v>
      </c>
      <c r="G26" s="2">
        <v>35</v>
      </c>
      <c r="H26" s="314">
        <v>30</v>
      </c>
      <c r="I26" s="77"/>
      <c r="J26" s="78"/>
      <c r="K26" s="78">
        <v>100</v>
      </c>
      <c r="L26" s="78"/>
      <c r="M26" s="78">
        <v>50</v>
      </c>
      <c r="N26" s="78"/>
      <c r="O26" s="108"/>
      <c r="P26" s="108"/>
      <c r="Q26" s="108"/>
      <c r="R26" s="108"/>
      <c r="S26" s="108"/>
      <c r="T26" s="108"/>
      <c r="U26" s="109">
        <v>-12</v>
      </c>
      <c r="V26" s="2">
        <f t="shared" si="1"/>
        <v>229</v>
      </c>
      <c r="W26" s="10"/>
      <c r="X26" s="13">
        <f t="shared" si="2"/>
        <v>-131</v>
      </c>
      <c r="Y26" s="10"/>
      <c r="Z26" s="14">
        <f t="shared" si="3"/>
        <v>86</v>
      </c>
      <c r="AA26" s="14">
        <f t="shared" si="14"/>
        <v>167</v>
      </c>
      <c r="AB26" s="2">
        <f t="shared" si="4"/>
        <v>253</v>
      </c>
      <c r="AC26" s="2">
        <f t="shared" si="5"/>
        <v>384</v>
      </c>
      <c r="AE26" s="9" t="s">
        <v>40</v>
      </c>
      <c r="AF26" s="2"/>
      <c r="AG26" s="99">
        <f>ROUND(Load!$D$43+'2022'!$E$30*0.485/744,0)</f>
        <v>98</v>
      </c>
      <c r="AH26" s="2">
        <f t="shared" si="6"/>
        <v>98</v>
      </c>
      <c r="AI26" s="9" t="s">
        <v>40</v>
      </c>
      <c r="AJ26" s="2">
        <f>'Hoover with 30 MW Solar'!$B$39</f>
        <v>26</v>
      </c>
      <c r="AK26" s="2">
        <v>35</v>
      </c>
      <c r="AL26" s="314">
        <v>30</v>
      </c>
      <c r="AM26" s="77"/>
      <c r="AN26" s="78"/>
      <c r="AO26" s="78">
        <v>100</v>
      </c>
      <c r="AP26" s="78">
        <v>50</v>
      </c>
      <c r="AQ26" s="78">
        <v>75</v>
      </c>
      <c r="AR26" s="78"/>
      <c r="AS26" s="108"/>
      <c r="AT26" s="108"/>
      <c r="AU26" s="108"/>
      <c r="AV26" s="108"/>
      <c r="AW26" s="108"/>
      <c r="AX26" s="108"/>
      <c r="AY26" s="109">
        <v>-12</v>
      </c>
      <c r="AZ26" s="2">
        <f t="shared" si="7"/>
        <v>304</v>
      </c>
      <c r="BA26" s="10"/>
      <c r="BB26" s="13">
        <f t="shared" si="8"/>
        <v>-206</v>
      </c>
      <c r="BC26" s="10"/>
      <c r="BD26" s="14">
        <f t="shared" si="9"/>
        <v>86</v>
      </c>
      <c r="BE26" s="14">
        <f t="shared" si="13"/>
        <v>92</v>
      </c>
      <c r="BF26" s="2">
        <f t="shared" si="10"/>
        <v>178</v>
      </c>
      <c r="BG26" s="2">
        <f t="shared" si="11"/>
        <v>384</v>
      </c>
    </row>
    <row r="27" spans="1:59" x14ac:dyDescent="0.3">
      <c r="A27" s="9" t="s">
        <v>41</v>
      </c>
      <c r="B27" s="2">
        <v>146</v>
      </c>
      <c r="C27" s="99">
        <f>ROUND(Load!$D$43+'2022'!$E$30*0.485/744,0)</f>
        <v>98</v>
      </c>
      <c r="D27" s="2">
        <f t="shared" si="0"/>
        <v>244</v>
      </c>
      <c r="E27" s="9" t="s">
        <v>41</v>
      </c>
      <c r="F27" s="2"/>
      <c r="G27" s="2">
        <v>35</v>
      </c>
      <c r="H27" s="2"/>
      <c r="I27" s="77">
        <v>25</v>
      </c>
      <c r="J27" s="78">
        <v>100</v>
      </c>
      <c r="K27" s="78"/>
      <c r="L27" s="78">
        <v>50</v>
      </c>
      <c r="M27" s="78"/>
      <c r="N27" s="78">
        <v>75</v>
      </c>
      <c r="O27" s="108"/>
      <c r="P27" s="108"/>
      <c r="Q27" s="108"/>
      <c r="R27" s="108"/>
      <c r="S27" s="108"/>
      <c r="T27" s="108"/>
      <c r="U27" s="109"/>
      <c r="V27" s="2">
        <f t="shared" si="1"/>
        <v>285</v>
      </c>
      <c r="W27" s="10"/>
      <c r="X27" s="11">
        <f t="shared" si="2"/>
        <v>-41</v>
      </c>
      <c r="Y27" s="10"/>
      <c r="Z27" s="12">
        <f t="shared" si="3"/>
        <v>142</v>
      </c>
      <c r="AA27" s="12">
        <f t="shared" ref="AA27:AA28" si="15">217-I27-L27-M27-N27</f>
        <v>67</v>
      </c>
      <c r="AB27" s="2">
        <f t="shared" si="4"/>
        <v>209</v>
      </c>
      <c r="AC27" s="2">
        <f t="shared" si="5"/>
        <v>250</v>
      </c>
      <c r="AE27" s="9" t="s">
        <v>41</v>
      </c>
      <c r="AF27" s="2">
        <v>146</v>
      </c>
      <c r="AG27" s="99">
        <f>ROUND(Load!$D$43+'2022'!$E$30*0.485/744,0)</f>
        <v>98</v>
      </c>
      <c r="AH27" s="2">
        <f t="shared" si="6"/>
        <v>244</v>
      </c>
      <c r="AI27" s="9" t="s">
        <v>41</v>
      </c>
      <c r="AJ27" s="2"/>
      <c r="AK27" s="2">
        <v>35</v>
      </c>
      <c r="AL27" s="2"/>
      <c r="AM27" s="77">
        <v>25</v>
      </c>
      <c r="AN27" s="78">
        <v>100</v>
      </c>
      <c r="AO27" s="78"/>
      <c r="AP27" s="78">
        <v>50</v>
      </c>
      <c r="AQ27" s="78">
        <v>75</v>
      </c>
      <c r="AR27" s="78"/>
      <c r="AS27" s="108"/>
      <c r="AT27" s="108"/>
      <c r="AU27" s="108"/>
      <c r="AV27" s="108"/>
      <c r="AW27" s="108"/>
      <c r="AX27" s="108"/>
      <c r="AY27" s="109"/>
      <c r="AZ27" s="2">
        <f t="shared" si="7"/>
        <v>285</v>
      </c>
      <c r="BA27" s="10"/>
      <c r="BB27" s="11">
        <f t="shared" si="8"/>
        <v>-41</v>
      </c>
      <c r="BC27" s="10"/>
      <c r="BD27" s="12">
        <f t="shared" si="9"/>
        <v>142</v>
      </c>
      <c r="BE27" s="12">
        <f t="shared" ref="BE27:BE28" si="16">217-AM27-AP27-AQ27</f>
        <v>67</v>
      </c>
      <c r="BF27" s="2">
        <f t="shared" si="10"/>
        <v>209</v>
      </c>
      <c r="BG27" s="2">
        <f t="shared" si="11"/>
        <v>250</v>
      </c>
    </row>
    <row r="28" spans="1:59" ht="15" thickBot="1" x14ac:dyDescent="0.35">
      <c r="A28" s="15" t="s">
        <v>42</v>
      </c>
      <c r="B28" s="16">
        <v>146</v>
      </c>
      <c r="C28" s="123">
        <f>ROUND(Load!$D$43+'2022'!$E$30*0.485/744,0)</f>
        <v>98</v>
      </c>
      <c r="D28" s="16">
        <f t="shared" si="0"/>
        <v>244</v>
      </c>
      <c r="E28" s="15" t="s">
        <v>42</v>
      </c>
      <c r="F28" s="16"/>
      <c r="G28" s="16">
        <v>35</v>
      </c>
      <c r="H28" s="16"/>
      <c r="I28" s="75">
        <v>25</v>
      </c>
      <c r="J28" s="76">
        <v>100</v>
      </c>
      <c r="K28" s="76"/>
      <c r="L28" s="76">
        <v>50</v>
      </c>
      <c r="M28" s="76"/>
      <c r="N28" s="76">
        <v>75</v>
      </c>
      <c r="O28" s="106"/>
      <c r="P28" s="106"/>
      <c r="Q28" s="106"/>
      <c r="R28" s="106"/>
      <c r="S28" s="106"/>
      <c r="T28" s="106"/>
      <c r="U28" s="107"/>
      <c r="V28" s="16">
        <f t="shared" si="1"/>
        <v>285</v>
      </c>
      <c r="W28" s="10"/>
      <c r="X28" s="17">
        <f t="shared" si="2"/>
        <v>-41</v>
      </c>
      <c r="Y28" s="10"/>
      <c r="Z28" s="18">
        <f t="shared" si="3"/>
        <v>142</v>
      </c>
      <c r="AA28" s="18">
        <f t="shared" si="15"/>
        <v>67</v>
      </c>
      <c r="AB28" s="16">
        <f t="shared" si="4"/>
        <v>209</v>
      </c>
      <c r="AC28" s="16">
        <f t="shared" si="5"/>
        <v>250</v>
      </c>
      <c r="AE28" s="15" t="s">
        <v>42</v>
      </c>
      <c r="AF28" s="16">
        <v>146</v>
      </c>
      <c r="AG28" s="123">
        <f>ROUND(Load!$D$43+'2022'!$E$30*0.485/744,0)</f>
        <v>98</v>
      </c>
      <c r="AH28" s="16">
        <f t="shared" si="6"/>
        <v>244</v>
      </c>
      <c r="AI28" s="15" t="s">
        <v>42</v>
      </c>
      <c r="AJ28" s="16"/>
      <c r="AK28" s="16">
        <v>35</v>
      </c>
      <c r="AL28" s="16"/>
      <c r="AM28" s="75">
        <v>25</v>
      </c>
      <c r="AN28" s="76">
        <v>100</v>
      </c>
      <c r="AO28" s="76"/>
      <c r="AP28" s="76">
        <v>50</v>
      </c>
      <c r="AQ28" s="76">
        <v>75</v>
      </c>
      <c r="AR28" s="76"/>
      <c r="AS28" s="106"/>
      <c r="AT28" s="106"/>
      <c r="AU28" s="106"/>
      <c r="AV28" s="106"/>
      <c r="AW28" s="106"/>
      <c r="AX28" s="106"/>
      <c r="AY28" s="107"/>
      <c r="AZ28" s="16">
        <f t="shared" si="7"/>
        <v>285</v>
      </c>
      <c r="BA28" s="10"/>
      <c r="BB28" s="17">
        <f t="shared" si="8"/>
        <v>-41</v>
      </c>
      <c r="BC28" s="10"/>
      <c r="BD28" s="18">
        <f t="shared" si="9"/>
        <v>142</v>
      </c>
      <c r="BE28" s="18">
        <f t="shared" si="16"/>
        <v>67</v>
      </c>
      <c r="BF28" s="16">
        <f t="shared" si="10"/>
        <v>209</v>
      </c>
      <c r="BG28" s="16">
        <f t="shared" si="11"/>
        <v>250</v>
      </c>
    </row>
    <row r="29" spans="1:59" ht="15" thickTop="1" x14ac:dyDescent="0.3">
      <c r="A29" s="2" t="s">
        <v>43</v>
      </c>
      <c r="B29" s="2">
        <f>SUM(B5:B28)</f>
        <v>2902</v>
      </c>
      <c r="C29" s="2">
        <f t="shared" ref="C29:D29" si="17">SUM(C5:C28)</f>
        <v>2352</v>
      </c>
      <c r="D29" s="2">
        <f t="shared" si="17"/>
        <v>5254</v>
      </c>
      <c r="E29" s="327" t="s">
        <v>406</v>
      </c>
      <c r="F29" s="2">
        <f t="shared" ref="F29:H29" si="18">SUM(F5:F28)</f>
        <v>416</v>
      </c>
      <c r="G29" s="2">
        <f t="shared" si="18"/>
        <v>840</v>
      </c>
      <c r="H29" s="2">
        <f t="shared" si="18"/>
        <v>181</v>
      </c>
      <c r="I29" s="2">
        <f>SUM(I5:I28)</f>
        <v>200</v>
      </c>
      <c r="J29" s="2">
        <f t="shared" ref="J29:K29" si="19">SUM(J5:J28)</f>
        <v>800</v>
      </c>
      <c r="K29" s="2">
        <f t="shared" si="19"/>
        <v>1600</v>
      </c>
      <c r="L29" s="2">
        <f>SUM(L5:L28)</f>
        <v>400</v>
      </c>
      <c r="M29" s="2">
        <f t="shared" ref="M29:U29" si="20">SUM(M5:M28)</f>
        <v>800</v>
      </c>
      <c r="N29" s="2">
        <f t="shared" si="20"/>
        <v>600</v>
      </c>
      <c r="O29" s="2">
        <f t="shared" ref="O29:P29" si="21">SUM(O5:O28)</f>
        <v>0</v>
      </c>
      <c r="P29" s="2">
        <f t="shared" si="21"/>
        <v>0</v>
      </c>
      <c r="Q29" s="2">
        <f t="shared" ref="Q29" si="22">SUM(Q5:Q28)</f>
        <v>0</v>
      </c>
      <c r="R29" s="2">
        <f t="shared" ref="R29:S29" si="23">SUM(R5:R28)</f>
        <v>0</v>
      </c>
      <c r="S29" s="2">
        <f t="shared" si="23"/>
        <v>0</v>
      </c>
      <c r="T29" s="2">
        <f t="shared" ref="T29" si="24">SUM(T5:T28)</f>
        <v>0</v>
      </c>
      <c r="U29" s="2">
        <f t="shared" si="20"/>
        <v>-192</v>
      </c>
      <c r="V29" s="2">
        <f>SUM(V5:V28)</f>
        <v>5645</v>
      </c>
      <c r="W29" s="10"/>
      <c r="X29" s="19">
        <f>SUM(X5:X28)</f>
        <v>-391</v>
      </c>
      <c r="Y29" s="10"/>
      <c r="Z29" s="19">
        <f>SUM(Z5:Z28)</f>
        <v>2811</v>
      </c>
      <c r="AA29" s="19">
        <f>SUM(AA5:AA28)</f>
        <v>3208</v>
      </c>
      <c r="AB29" s="19">
        <f>SUM(AB5:AB28)</f>
        <v>6019</v>
      </c>
      <c r="AC29" s="19">
        <f>SUM(AC5:AC28)</f>
        <v>6410</v>
      </c>
      <c r="AE29" s="2" t="s">
        <v>43</v>
      </c>
      <c r="AF29" s="2">
        <f>SUM(AF5:AF28)</f>
        <v>3000</v>
      </c>
      <c r="AG29" s="2">
        <f t="shared" ref="AG29:AH29" si="25">SUM(AG5:AG28)</f>
        <v>2352</v>
      </c>
      <c r="AH29" s="2">
        <f t="shared" si="25"/>
        <v>5352</v>
      </c>
      <c r="AI29" s="92"/>
      <c r="AJ29" s="2">
        <f t="shared" ref="AJ29:AL29" si="26">SUM(AJ5:AJ28)</f>
        <v>416</v>
      </c>
      <c r="AK29" s="2">
        <f t="shared" si="26"/>
        <v>840</v>
      </c>
      <c r="AL29" s="2">
        <f t="shared" si="26"/>
        <v>181</v>
      </c>
      <c r="AM29" s="314">
        <f>SUM(AM5:AM28)</f>
        <v>200</v>
      </c>
      <c r="AN29" s="314">
        <f t="shared" ref="AN29:AO29" si="27">SUM(AN5:AN28)</f>
        <v>800</v>
      </c>
      <c r="AO29" s="314">
        <f t="shared" si="27"/>
        <v>1600</v>
      </c>
      <c r="AP29" s="314">
        <f>SUM(AP5:AP28)</f>
        <v>1200</v>
      </c>
      <c r="AQ29" s="314">
        <f t="shared" ref="AQ29:AY29" si="28">SUM(AQ5:AQ28)</f>
        <v>1800</v>
      </c>
      <c r="AR29" s="314">
        <f t="shared" si="28"/>
        <v>0</v>
      </c>
      <c r="AS29" s="314">
        <f t="shared" si="28"/>
        <v>0</v>
      </c>
      <c r="AT29" s="314">
        <f t="shared" si="28"/>
        <v>0</v>
      </c>
      <c r="AU29" s="314">
        <f t="shared" si="28"/>
        <v>0</v>
      </c>
      <c r="AV29" s="314">
        <f t="shared" si="28"/>
        <v>0</v>
      </c>
      <c r="AW29" s="314">
        <f t="shared" si="28"/>
        <v>0</v>
      </c>
      <c r="AX29" s="314">
        <f t="shared" si="28"/>
        <v>0</v>
      </c>
      <c r="AY29" s="314">
        <f t="shared" si="28"/>
        <v>-192</v>
      </c>
      <c r="AZ29" s="2">
        <f>SUM(AZ5:AZ28)</f>
        <v>6845</v>
      </c>
      <c r="BA29" s="10"/>
      <c r="BB29" s="19">
        <f>SUM(BB5:BB28)</f>
        <v>-1493</v>
      </c>
      <c r="BC29" s="10"/>
      <c r="BD29" s="19">
        <f>SUM(BD5:BD28)</f>
        <v>2811</v>
      </c>
      <c r="BE29" s="19">
        <f>SUM(BE5:BE28)</f>
        <v>2008</v>
      </c>
      <c r="BF29" s="19">
        <f>SUM(BF5:BF28)</f>
        <v>4819</v>
      </c>
      <c r="BG29" s="19">
        <f>SUM(BG5:BG28)</f>
        <v>6312</v>
      </c>
    </row>
    <row r="30" spans="1:59" x14ac:dyDescent="0.3">
      <c r="A30" s="2" t="s">
        <v>44</v>
      </c>
      <c r="B30" s="2">
        <f>B29*(31-AN2)</f>
        <v>72550</v>
      </c>
      <c r="C30" s="2">
        <f>C29*(31-AN2)</f>
        <v>58800</v>
      </c>
      <c r="D30" s="2">
        <f>D29*(31-AN2)</f>
        <v>131350</v>
      </c>
      <c r="E30" s="328">
        <f>B30+AF30</f>
        <v>90550</v>
      </c>
      <c r="H30" s="124">
        <f>'Hoover with 30 MW Solar'!B44</f>
        <v>181.38175180645152</v>
      </c>
      <c r="I30" s="479" t="s">
        <v>470</v>
      </c>
      <c r="J30" s="2"/>
      <c r="K30" s="2"/>
      <c r="L30" s="2"/>
      <c r="S30" s="216"/>
      <c r="V30" s="2">
        <f>V29*(31-AN2)</f>
        <v>141125</v>
      </c>
      <c r="W30" s="35" t="s">
        <v>153</v>
      </c>
      <c r="X30" s="87">
        <f>-SUMIF(X5:X28,"&lt;0")</f>
        <v>1519</v>
      </c>
      <c r="Y30">
        <f>X30*(31-AN2)</f>
        <v>37975</v>
      </c>
      <c r="Z30" t="s">
        <v>217</v>
      </c>
      <c r="AE30" s="2" t="s">
        <v>44</v>
      </c>
      <c r="AF30" s="2">
        <f>AF29*AN2</f>
        <v>18000</v>
      </c>
      <c r="AG30" s="2">
        <f>AG29*AN2</f>
        <v>14112</v>
      </c>
      <c r="AH30" s="2">
        <f>AH29*AN2</f>
        <v>32112</v>
      </c>
      <c r="AI30" s="92"/>
      <c r="AK30" s="92"/>
      <c r="AL30" s="124">
        <f>H30</f>
        <v>181.38175180645152</v>
      </c>
      <c r="AM30" s="314"/>
      <c r="AN30" s="314"/>
      <c r="AO30" s="314"/>
      <c r="AP30" s="314"/>
      <c r="AQ30" s="313"/>
      <c r="AR30" s="313"/>
      <c r="AS30" s="313"/>
      <c r="AT30" s="313"/>
      <c r="AU30" s="313"/>
      <c r="AV30" s="313"/>
      <c r="AW30" s="313"/>
      <c r="AX30" s="313"/>
      <c r="AY30" s="313"/>
      <c r="AZ30" s="2"/>
      <c r="BA30" s="35" t="s">
        <v>216</v>
      </c>
      <c r="BB30" s="87">
        <f>-SUMIF(BB5:BB28,"&lt;0")</f>
        <v>2171</v>
      </c>
      <c r="BC30" s="92">
        <f>BB30*AN2</f>
        <v>13026</v>
      </c>
      <c r="BD30" s="92" t="s">
        <v>217</v>
      </c>
      <c r="BE30" s="92"/>
      <c r="BF30" s="92"/>
      <c r="BG30" s="92"/>
    </row>
    <row r="31" spans="1:59" x14ac:dyDescent="0.3">
      <c r="A31" s="2" t="s">
        <v>45</v>
      </c>
      <c r="B31" s="20">
        <f>ROUND(B29/48.35,0)</f>
        <v>60</v>
      </c>
      <c r="C31" s="294">
        <f>((B31*(31-AN2)+AF31*AN2)/31)</f>
        <v>60.387096774193552</v>
      </c>
      <c r="D31" s="294">
        <f>C31-Load!D35</f>
        <v>3.0206553614688332</v>
      </c>
      <c r="F31" s="21">
        <v>24.99</v>
      </c>
      <c r="G31" s="62">
        <f>D485</f>
        <v>57.037500000000001</v>
      </c>
      <c r="H31" s="98">
        <f>$F$479</f>
        <v>43.87</v>
      </c>
      <c r="I31" s="21">
        <v>28</v>
      </c>
      <c r="J31" s="21">
        <v>31.59</v>
      </c>
      <c r="K31" s="21">
        <v>33.229999999999997</v>
      </c>
      <c r="L31" s="21">
        <v>23.4</v>
      </c>
      <c r="M31" s="21">
        <v>27.5</v>
      </c>
      <c r="N31" s="21">
        <v>26.73</v>
      </c>
      <c r="O31" s="313"/>
      <c r="P31" s="313"/>
      <c r="Q31" s="313"/>
      <c r="R31" s="313"/>
      <c r="S31" s="313"/>
      <c r="T31" s="313"/>
      <c r="U31" s="21"/>
      <c r="X31" s="11">
        <f>SUM(X27:X28,X5:X10)</f>
        <v>-328</v>
      </c>
      <c r="Y31">
        <f>Y30+BC30</f>
        <v>51001</v>
      </c>
      <c r="Z31" s="92" t="s">
        <v>236</v>
      </c>
      <c r="AE31" s="2" t="s">
        <v>45</v>
      </c>
      <c r="AF31" s="20">
        <f>ROUND(AF29/48.35,0)</f>
        <v>62</v>
      </c>
      <c r="AG31" s="92"/>
      <c r="AH31" s="92"/>
      <c r="AI31" s="92"/>
      <c r="AJ31" s="21"/>
      <c r="AK31" s="21"/>
      <c r="AL31" s="21"/>
      <c r="AM31" s="21">
        <v>28</v>
      </c>
      <c r="AN31" s="21">
        <v>31.59</v>
      </c>
      <c r="AO31" s="21">
        <v>33.229999999999997</v>
      </c>
      <c r="AP31" s="21">
        <v>23.4</v>
      </c>
      <c r="AQ31" s="21">
        <v>26.73</v>
      </c>
      <c r="AR31" s="313"/>
      <c r="AS31" s="313"/>
      <c r="AT31" s="313"/>
      <c r="AU31" s="313"/>
      <c r="AV31" s="313"/>
      <c r="AW31" s="313"/>
      <c r="AX31" s="313"/>
      <c r="AY31" s="21">
        <v>33.229999999999997</v>
      </c>
      <c r="AZ31" s="92"/>
      <c r="BA31" s="92"/>
      <c r="BB31" s="11">
        <f>SUM(BB27:BB28,BB5:BB10)</f>
        <v>-328</v>
      </c>
      <c r="BC31" s="92"/>
      <c r="BD31" s="92"/>
      <c r="BE31" s="92"/>
      <c r="BF31" s="92"/>
      <c r="BG31" s="92"/>
    </row>
    <row r="32" spans="1:59" x14ac:dyDescent="0.3">
      <c r="A32" s="2" t="s">
        <v>62</v>
      </c>
      <c r="B32" s="2">
        <f>SUM(B11:B26)</f>
        <v>1734</v>
      </c>
      <c r="C32" s="2">
        <f>SUM(C11:C26)</f>
        <v>1568</v>
      </c>
      <c r="F32" s="22">
        <f>'Hoover with 30 MW Solar'!B30</f>
        <v>5286.8343059999979</v>
      </c>
      <c r="G32" s="22">
        <f>G29*31</f>
        <v>26040</v>
      </c>
      <c r="H32" s="22">
        <f>'Hoover with 30 MW Solar'!B31</f>
        <v>7280</v>
      </c>
      <c r="I32" s="22">
        <f>I29*(31-$AN2)</f>
        <v>5000</v>
      </c>
      <c r="J32" s="22">
        <f t="shared" ref="J32:U32" si="29">J29*(31-$AN2)</f>
        <v>20000</v>
      </c>
      <c r="K32" s="22">
        <f t="shared" si="29"/>
        <v>40000</v>
      </c>
      <c r="L32" s="22">
        <f t="shared" si="29"/>
        <v>10000</v>
      </c>
      <c r="M32" s="22">
        <f t="shared" si="29"/>
        <v>20000</v>
      </c>
      <c r="N32" s="22">
        <f t="shared" si="29"/>
        <v>15000</v>
      </c>
      <c r="O32" s="22">
        <f t="shared" si="29"/>
        <v>0</v>
      </c>
      <c r="P32" s="22">
        <f t="shared" si="29"/>
        <v>0</v>
      </c>
      <c r="Q32" s="22">
        <f t="shared" si="29"/>
        <v>0</v>
      </c>
      <c r="R32" s="22">
        <f t="shared" si="29"/>
        <v>0</v>
      </c>
      <c r="S32" s="22">
        <f t="shared" si="29"/>
        <v>0</v>
      </c>
      <c r="T32" s="22">
        <f t="shared" si="29"/>
        <v>0</v>
      </c>
      <c r="U32" s="22">
        <f t="shared" si="29"/>
        <v>-4800</v>
      </c>
      <c r="X32" s="13">
        <f>SUM(X11:X26)</f>
        <v>-63</v>
      </c>
      <c r="AE32" s="2" t="s">
        <v>62</v>
      </c>
      <c r="AF32" s="2">
        <f>SUM(AF11:AF26)</f>
        <v>1832</v>
      </c>
      <c r="AG32" s="2">
        <f>SUM(AG11:AG26)</f>
        <v>1568</v>
      </c>
      <c r="AH32" s="92"/>
      <c r="AI32" s="92"/>
      <c r="AJ32" s="22"/>
      <c r="AK32" s="22"/>
      <c r="AL32" s="22"/>
      <c r="AM32" s="22">
        <f>AM29*$AN2</f>
        <v>1200</v>
      </c>
      <c r="AN32" s="22">
        <f t="shared" ref="AN32:AY32" si="30">AN29*$AN2</f>
        <v>4800</v>
      </c>
      <c r="AO32" s="22">
        <f t="shared" si="30"/>
        <v>9600</v>
      </c>
      <c r="AP32" s="22">
        <f t="shared" si="30"/>
        <v>7200</v>
      </c>
      <c r="AQ32" s="22">
        <f t="shared" si="30"/>
        <v>10800</v>
      </c>
      <c r="AR32" s="22">
        <f t="shared" si="30"/>
        <v>0</v>
      </c>
      <c r="AS32" s="22">
        <f t="shared" si="30"/>
        <v>0</v>
      </c>
      <c r="AT32" s="22">
        <f t="shared" si="30"/>
        <v>0</v>
      </c>
      <c r="AU32" s="22">
        <f t="shared" si="30"/>
        <v>0</v>
      </c>
      <c r="AV32" s="22">
        <f t="shared" si="30"/>
        <v>0</v>
      </c>
      <c r="AW32" s="22">
        <f t="shared" si="30"/>
        <v>0</v>
      </c>
      <c r="AX32" s="22">
        <f t="shared" si="30"/>
        <v>0</v>
      </c>
      <c r="AY32" s="22">
        <f t="shared" si="30"/>
        <v>-1152</v>
      </c>
      <c r="AZ32" s="92"/>
      <c r="BA32" s="92"/>
      <c r="BB32" s="13">
        <f>SUM(BB11:BB26)</f>
        <v>-1165</v>
      </c>
      <c r="BC32" s="92"/>
      <c r="BD32" s="92"/>
      <c r="BE32" s="92"/>
      <c r="BF32" s="92"/>
      <c r="BG32" s="92"/>
    </row>
    <row r="33" spans="1:59" x14ac:dyDescent="0.3">
      <c r="A33" s="2" t="s">
        <v>63</v>
      </c>
      <c r="B33" s="2">
        <f>SUM(B27:B28,B5:B10)</f>
        <v>1168</v>
      </c>
      <c r="C33" s="2">
        <f>SUM(C27:C28,C5:C10)</f>
        <v>784</v>
      </c>
      <c r="D33" s="24"/>
      <c r="E33" s="24"/>
      <c r="F33" s="25">
        <f t="shared" ref="F33:H33" si="31">F32*F31</f>
        <v>132117.98930693994</v>
      </c>
      <c r="G33" s="25">
        <f t="shared" si="31"/>
        <v>1485256.5</v>
      </c>
      <c r="H33" s="25">
        <f t="shared" si="31"/>
        <v>319373.59999999998</v>
      </c>
      <c r="I33" s="25">
        <f>I32*I31</f>
        <v>140000</v>
      </c>
      <c r="J33" s="25">
        <f t="shared" ref="J33:U33" si="32">J32*J31</f>
        <v>631800</v>
      </c>
      <c r="K33" s="25">
        <f t="shared" si="32"/>
        <v>1329199.9999999998</v>
      </c>
      <c r="L33" s="25">
        <f t="shared" si="32"/>
        <v>234000</v>
      </c>
      <c r="M33" s="25">
        <f t="shared" si="32"/>
        <v>550000</v>
      </c>
      <c r="N33" s="25">
        <f t="shared" si="32"/>
        <v>400950</v>
      </c>
      <c r="O33" s="25">
        <f t="shared" si="32"/>
        <v>0</v>
      </c>
      <c r="P33" s="25">
        <f t="shared" si="32"/>
        <v>0</v>
      </c>
      <c r="Q33" s="25">
        <f t="shared" si="32"/>
        <v>0</v>
      </c>
      <c r="R33" s="25">
        <f t="shared" si="32"/>
        <v>0</v>
      </c>
      <c r="S33" s="25">
        <f t="shared" si="32"/>
        <v>0</v>
      </c>
      <c r="T33" s="25">
        <f t="shared" si="32"/>
        <v>0</v>
      </c>
      <c r="U33" s="25">
        <f t="shared" si="32"/>
        <v>0</v>
      </c>
      <c r="V33" s="24"/>
      <c r="W33" s="24"/>
      <c r="X33" s="24"/>
      <c r="Y33" s="24"/>
      <c r="Z33" s="24"/>
      <c r="AA33" s="24"/>
      <c r="AB33" s="24"/>
      <c r="AC33" s="24"/>
      <c r="AE33" s="2" t="s">
        <v>63</v>
      </c>
      <c r="AF33" s="2">
        <f>SUM(AF27:AF28,AF5:AF10)</f>
        <v>1168</v>
      </c>
      <c r="AG33" s="2">
        <f>SUM(AG27:AG28,AG5:AG10)</f>
        <v>784</v>
      </c>
      <c r="AH33" s="24"/>
      <c r="AI33" s="24"/>
      <c r="AJ33" s="25"/>
      <c r="AK33" s="25"/>
      <c r="AL33" s="25"/>
      <c r="AM33" s="25">
        <f>AM32*AM31</f>
        <v>33600</v>
      </c>
      <c r="AN33" s="25">
        <f t="shared" ref="AN33:AY33" si="33">AN32*AN31</f>
        <v>151632</v>
      </c>
      <c r="AO33" s="25">
        <f t="shared" si="33"/>
        <v>319007.99999999994</v>
      </c>
      <c r="AP33" s="25">
        <f t="shared" si="33"/>
        <v>168480</v>
      </c>
      <c r="AQ33" s="25">
        <f t="shared" si="33"/>
        <v>288684</v>
      </c>
      <c r="AR33" s="25">
        <f t="shared" si="33"/>
        <v>0</v>
      </c>
      <c r="AS33" s="25">
        <f t="shared" si="33"/>
        <v>0</v>
      </c>
      <c r="AT33" s="25">
        <f t="shared" si="33"/>
        <v>0</v>
      </c>
      <c r="AU33" s="25">
        <f t="shared" si="33"/>
        <v>0</v>
      </c>
      <c r="AV33" s="25">
        <f t="shared" si="33"/>
        <v>0</v>
      </c>
      <c r="AW33" s="25">
        <f t="shared" si="33"/>
        <v>0</v>
      </c>
      <c r="AX33" s="25">
        <f t="shared" si="33"/>
        <v>0</v>
      </c>
      <c r="AY33" s="25">
        <f t="shared" si="33"/>
        <v>-38280.959999999999</v>
      </c>
      <c r="AZ33" s="24"/>
      <c r="BA33" s="24"/>
      <c r="BB33" s="24"/>
      <c r="BC33" s="24"/>
      <c r="BD33" s="24"/>
      <c r="BE33" s="24"/>
      <c r="BF33" s="24"/>
      <c r="BG33" s="24"/>
    </row>
    <row r="34" spans="1:59" x14ac:dyDescent="0.3">
      <c r="A34" s="23"/>
      <c r="B34" s="23"/>
      <c r="C34" s="35" t="s">
        <v>221</v>
      </c>
      <c r="D34" s="117">
        <f>'2022 Transaction Totals'!S11</f>
        <v>163473.834306</v>
      </c>
      <c r="E34" s="23"/>
      <c r="F34" s="23"/>
      <c r="G34" s="23"/>
      <c r="H34" s="23"/>
      <c r="I34" s="116" t="s">
        <v>222</v>
      </c>
      <c r="J34" s="25">
        <f>SUM(F33:T33)+SUM(AM33:AX33)</f>
        <v>6184102.0893069394</v>
      </c>
      <c r="K34" s="23"/>
      <c r="W34" s="23"/>
      <c r="X34" s="11">
        <f>X31*(31-AN2)</f>
        <v>-8200</v>
      </c>
      <c r="Y34" s="23"/>
      <c r="Z34" s="23"/>
      <c r="AA34" s="23"/>
      <c r="AB34" s="23"/>
      <c r="AC34" s="23"/>
      <c r="AE34" s="23"/>
      <c r="AF34" s="23"/>
      <c r="AG34" s="23"/>
      <c r="AH34" s="23"/>
      <c r="AI34" s="23"/>
      <c r="AJ34" s="23"/>
      <c r="AK34" s="23"/>
      <c r="AL34" s="23"/>
      <c r="AM34" s="23"/>
      <c r="AN34" s="25"/>
      <c r="AO34" s="23"/>
      <c r="AP34" s="92"/>
      <c r="AQ34" s="92"/>
      <c r="AR34" s="92"/>
      <c r="AS34" s="92"/>
      <c r="AT34" s="92"/>
      <c r="AU34" s="92"/>
      <c r="AV34" s="92"/>
      <c r="AW34" s="92"/>
      <c r="AX34" s="92"/>
      <c r="AY34" s="92"/>
      <c r="AZ34" s="92"/>
      <c r="BA34" s="23"/>
      <c r="BB34" s="11">
        <f>BB31*AN2</f>
        <v>-1968</v>
      </c>
      <c r="BC34" s="23"/>
      <c r="BD34" s="23"/>
      <c r="BE34" s="23"/>
      <c r="BF34" s="23"/>
      <c r="BG34" s="23"/>
    </row>
    <row r="35" spans="1:59" x14ac:dyDescent="0.3">
      <c r="C35" s="35" t="s">
        <v>131</v>
      </c>
      <c r="D35" s="36">
        <f>D34-Load!S8</f>
        <v>6533.8916970784194</v>
      </c>
      <c r="I35" s="23" t="s">
        <v>192</v>
      </c>
      <c r="J35" s="22">
        <f>SUM(F32:U32)+SUM(AM32:AY32)</f>
        <v>176254.834306</v>
      </c>
      <c r="K35" s="39">
        <f>J35/D34</f>
        <v>1.0781837659479852</v>
      </c>
      <c r="L35" t="s">
        <v>223</v>
      </c>
      <c r="X35" s="13">
        <f>X32*(31-AN2)</f>
        <v>-1575</v>
      </c>
      <c r="Y35" s="57">
        <v>40</v>
      </c>
      <c r="Z35" t="s">
        <v>220</v>
      </c>
      <c r="AE35" s="92"/>
      <c r="AF35" s="92"/>
      <c r="AG35" s="35"/>
      <c r="AH35" s="36"/>
      <c r="AI35" s="92"/>
      <c r="AJ35" s="92"/>
      <c r="AK35" s="92"/>
      <c r="AL35" s="92"/>
      <c r="AM35" s="23"/>
      <c r="AN35" s="22"/>
      <c r="AO35" s="39"/>
      <c r="AP35" s="92"/>
      <c r="AQ35" s="92"/>
      <c r="AR35" s="92"/>
      <c r="AS35" s="92"/>
      <c r="AT35" s="92"/>
      <c r="AU35" s="92"/>
      <c r="AV35" s="92"/>
      <c r="AW35" s="92"/>
      <c r="AX35" s="92"/>
      <c r="AY35" s="92"/>
      <c r="AZ35" s="92"/>
      <c r="BA35" s="92"/>
      <c r="BB35" s="13">
        <f>BB32*AN2</f>
        <v>-6990</v>
      </c>
      <c r="BC35" s="92"/>
      <c r="BD35" s="92"/>
      <c r="BE35" s="92"/>
      <c r="BF35" s="92"/>
      <c r="BG35" s="92"/>
    </row>
    <row r="36" spans="1:59" ht="15" thickBot="1" x14ac:dyDescent="0.35">
      <c r="A36" s="313"/>
      <c r="B36" s="313"/>
      <c r="C36" s="35" t="s">
        <v>383</v>
      </c>
      <c r="D36" s="49">
        <f>C31*31*50.6</f>
        <v>94723.199999999997</v>
      </c>
      <c r="I36" s="23" t="s">
        <v>47</v>
      </c>
      <c r="J36" s="21">
        <f>J34/J35</f>
        <v>35.086141686023659</v>
      </c>
      <c r="L36" s="92"/>
      <c r="M36" s="92" t="s">
        <v>100</v>
      </c>
      <c r="V36" s="313"/>
      <c r="W36" s="313"/>
      <c r="X36" s="37">
        <f>SUM(X34:X35)+Y30+BB36</f>
        <v>32268</v>
      </c>
      <c r="Y36" s="313" t="s">
        <v>159</v>
      </c>
      <c r="AE36" s="23"/>
      <c r="AF36" s="92"/>
      <c r="AG36" s="92"/>
      <c r="AH36" s="92"/>
      <c r="AI36" s="92"/>
      <c r="AJ36" s="92"/>
      <c r="AK36" s="92"/>
      <c r="AL36" s="92"/>
      <c r="AM36" s="23"/>
      <c r="AN36" s="21"/>
      <c r="AO36" s="92"/>
      <c r="AP36" s="92"/>
      <c r="AQ36" s="92"/>
      <c r="AR36" s="92"/>
      <c r="AS36" s="92"/>
      <c r="AT36" s="92"/>
      <c r="AU36" s="92"/>
      <c r="AV36" s="92"/>
      <c r="AW36" s="92"/>
      <c r="AX36" s="92"/>
      <c r="AY36" s="92"/>
      <c r="AZ36" s="92"/>
      <c r="BA36" s="92"/>
      <c r="BB36" s="37">
        <f>SUM(BB34:BB35)+BC30</f>
        <v>4068</v>
      </c>
      <c r="BC36" s="92" t="s">
        <v>218</v>
      </c>
      <c r="BD36" s="92"/>
      <c r="BE36" s="92"/>
      <c r="BF36" s="92"/>
      <c r="BG36" s="92"/>
    </row>
    <row r="37" spans="1:59" x14ac:dyDescent="0.3">
      <c r="A37" s="313"/>
      <c r="B37" s="313"/>
      <c r="C37" s="35" t="s">
        <v>384</v>
      </c>
      <c r="D37" s="36">
        <f>D36-Load!D33</f>
        <v>4738.1999999999971</v>
      </c>
      <c r="I37" s="67" t="s">
        <v>191</v>
      </c>
      <c r="J37" s="68">
        <f>SUM(I32:T32)+SUM(AM32:AX32)</f>
        <v>143600</v>
      </c>
      <c r="L37" s="92" t="s">
        <v>233</v>
      </c>
      <c r="M37" s="31">
        <f>SUM(I32:N32,AM32:AR32)</f>
        <v>143600</v>
      </c>
      <c r="N37" s="58">
        <f>SUM(I33:N33,AM33:AR33)</f>
        <v>4247354</v>
      </c>
      <c r="V37" s="313"/>
      <c r="W37" s="313"/>
      <c r="X37" s="93">
        <f>(SUM(X34:X35)+Y30)*Y35+BB38</f>
        <v>1290720</v>
      </c>
      <c r="Y37" s="313"/>
      <c r="AE37" s="23"/>
      <c r="AF37" s="92"/>
      <c r="AG37" s="92"/>
      <c r="AH37" s="92"/>
      <c r="AI37" s="92"/>
      <c r="AJ37" s="92"/>
      <c r="AK37" s="92"/>
      <c r="AL37" s="92"/>
      <c r="AM37" s="92"/>
      <c r="AN37" s="92"/>
      <c r="AO37" s="92"/>
      <c r="AP37" s="92"/>
      <c r="AQ37" s="92"/>
      <c r="AR37" s="92"/>
      <c r="AS37" s="92"/>
      <c r="AT37" s="92"/>
      <c r="AU37" s="92"/>
      <c r="AV37" s="92"/>
      <c r="AW37" s="92"/>
      <c r="AX37" s="92"/>
      <c r="AY37" s="92"/>
      <c r="AZ37" s="92"/>
      <c r="BA37" s="92"/>
      <c r="BB37" s="93">
        <f>BB36*BC37</f>
        <v>162720</v>
      </c>
      <c r="BC37" s="93">
        <f>Y35</f>
        <v>40</v>
      </c>
      <c r="BD37" s="92" t="s">
        <v>160</v>
      </c>
      <c r="BE37" s="92"/>
      <c r="BF37" s="92"/>
      <c r="BG37" s="92"/>
    </row>
    <row r="38" spans="1:59" x14ac:dyDescent="0.3">
      <c r="A38" s="23"/>
      <c r="I38" s="69" t="s">
        <v>18</v>
      </c>
      <c r="J38" s="70">
        <f>SUM(I33:T33)+SUM(AM33:AX33)</f>
        <v>4247354</v>
      </c>
      <c r="L38" s="92" t="s">
        <v>235</v>
      </c>
      <c r="M38" s="31">
        <f>SUM(O32:T32)+SUM(AS32:AX32)</f>
        <v>0</v>
      </c>
      <c r="N38" s="58">
        <f>SUM(O33:S33,AS33:AX33)</f>
        <v>0</v>
      </c>
      <c r="V38" s="313"/>
      <c r="W38" s="313"/>
      <c r="X38" s="79">
        <f>X37+J38</f>
        <v>5538074</v>
      </c>
      <c r="Y38" s="313" t="s">
        <v>161</v>
      </c>
      <c r="AE38" s="23"/>
      <c r="AF38" s="92"/>
      <c r="AG38" s="92"/>
      <c r="AH38" s="92"/>
      <c r="AI38" s="92"/>
      <c r="AJ38" s="92"/>
      <c r="AK38" s="92"/>
      <c r="AL38" s="92"/>
      <c r="AM38" s="92"/>
      <c r="AN38" s="92"/>
      <c r="AO38" s="92"/>
      <c r="AP38" s="92"/>
      <c r="AQ38" s="92"/>
      <c r="AR38" s="92"/>
      <c r="AS38" s="92"/>
      <c r="AT38" s="92"/>
      <c r="AU38" s="92"/>
      <c r="AV38" s="92"/>
      <c r="AW38" s="92"/>
      <c r="AX38" s="92"/>
      <c r="AY38" s="92"/>
      <c r="AZ38" s="92"/>
      <c r="BA38" s="92"/>
      <c r="BB38" s="79">
        <f>BB37</f>
        <v>162720</v>
      </c>
      <c r="BC38" s="92" t="s">
        <v>219</v>
      </c>
      <c r="BD38" s="92"/>
      <c r="BE38" s="92"/>
      <c r="BF38" s="92"/>
      <c r="BG38" s="92"/>
    </row>
    <row r="39" spans="1:59" ht="15" thickBot="1" x14ac:dyDescent="0.35">
      <c r="A39" s="23"/>
      <c r="I39" s="71" t="s">
        <v>156</v>
      </c>
      <c r="J39" s="72">
        <f>J38/J37</f>
        <v>29.577674094707522</v>
      </c>
      <c r="L39" t="s">
        <v>93</v>
      </c>
      <c r="M39" s="31">
        <f>SUM(M37:M38)</f>
        <v>143600</v>
      </c>
      <c r="N39" s="58">
        <f>SUM(N37:N38)</f>
        <v>4247354</v>
      </c>
      <c r="V39" s="313"/>
      <c r="W39" s="38" t="s">
        <v>193</v>
      </c>
      <c r="X39" s="315">
        <f>J37+X36</f>
        <v>175868</v>
      </c>
      <c r="Y39" s="79">
        <f>X38/X39</f>
        <v>31.489947005708828</v>
      </c>
      <c r="AE39" s="23"/>
      <c r="AF39" s="92"/>
      <c r="AG39" s="92"/>
      <c r="AH39" s="92"/>
      <c r="AI39" s="92"/>
      <c r="AJ39" s="92"/>
      <c r="AK39" s="92"/>
      <c r="AL39" s="92"/>
      <c r="AM39" s="92"/>
      <c r="AN39" s="92"/>
      <c r="AO39" s="92"/>
      <c r="AP39" s="92"/>
      <c r="AQ39" s="92"/>
      <c r="AR39" s="92"/>
      <c r="AS39" s="92"/>
      <c r="AT39" s="92"/>
      <c r="AU39" s="92"/>
      <c r="AV39" s="92"/>
      <c r="AW39" s="92"/>
      <c r="AX39" s="92"/>
      <c r="AY39" s="92"/>
      <c r="AZ39" s="92"/>
      <c r="BA39" s="38"/>
      <c r="BB39" s="80"/>
      <c r="BC39" s="79"/>
      <c r="BD39" s="92"/>
      <c r="BE39" s="92"/>
      <c r="BF39" s="92"/>
      <c r="BG39" s="92"/>
    </row>
    <row r="40" spans="1:59" ht="15.75" customHeight="1" x14ac:dyDescent="0.3">
      <c r="AE40" s="92"/>
      <c r="AF40" s="92"/>
      <c r="AG40" s="92"/>
      <c r="AH40" s="92"/>
      <c r="AI40" s="92"/>
      <c r="AJ40" s="92"/>
      <c r="AK40" s="92"/>
      <c r="AL40" s="92"/>
      <c r="AM40" s="92"/>
      <c r="AN40" s="92"/>
      <c r="AO40" s="92"/>
      <c r="AP40" s="92"/>
      <c r="AQ40" s="92"/>
      <c r="AR40" s="92"/>
      <c r="AS40" s="92"/>
      <c r="AT40" s="92"/>
      <c r="AU40" s="92"/>
      <c r="AV40" s="92"/>
      <c r="AW40" s="92"/>
      <c r="AX40" s="92"/>
      <c r="AY40" s="92"/>
      <c r="AZ40" s="92"/>
      <c r="BA40" s="92"/>
      <c r="BB40" s="92"/>
      <c r="BC40" s="92"/>
      <c r="BD40" s="92"/>
      <c r="BE40" s="92"/>
      <c r="BF40" s="92"/>
      <c r="BG40" s="92"/>
    </row>
    <row r="41" spans="1:59" x14ac:dyDescent="0.3">
      <c r="AM41" s="92"/>
      <c r="AN41" s="113" t="s">
        <v>215</v>
      </c>
    </row>
    <row r="42" spans="1:59" ht="15" thickBot="1" x14ac:dyDescent="0.35">
      <c r="A42" s="2" t="s">
        <v>49</v>
      </c>
      <c r="F42" s="87"/>
      <c r="I42" s="37" t="s">
        <v>213</v>
      </c>
      <c r="U42" s="37" t="s">
        <v>237</v>
      </c>
      <c r="X42" s="91" t="s">
        <v>0</v>
      </c>
      <c r="Z42" s="481" t="s">
        <v>1</v>
      </c>
      <c r="AA42" s="483"/>
      <c r="AB42" s="482"/>
      <c r="AC42" s="1" t="s">
        <v>75</v>
      </c>
      <c r="AE42" s="2" t="s">
        <v>49</v>
      </c>
      <c r="AF42" s="92"/>
      <c r="AG42" s="92"/>
      <c r="AH42" s="92"/>
      <c r="AI42" s="92"/>
      <c r="AJ42" s="92"/>
      <c r="AK42" s="92"/>
      <c r="AL42" s="92"/>
      <c r="AM42" s="37" t="s">
        <v>214</v>
      </c>
      <c r="AN42" s="322">
        <v>4</v>
      </c>
      <c r="AO42" s="313"/>
      <c r="AP42" s="313"/>
      <c r="AQ42" s="313"/>
      <c r="AR42" s="313"/>
      <c r="AS42" s="313"/>
      <c r="AT42" s="313"/>
      <c r="AU42" s="313"/>
      <c r="AV42" s="313"/>
      <c r="AW42" s="313"/>
      <c r="AX42" s="313"/>
      <c r="AY42" s="37" t="s">
        <v>237</v>
      </c>
      <c r="AZ42" s="92"/>
      <c r="BA42" s="92"/>
      <c r="BB42" s="112" t="s">
        <v>0</v>
      </c>
      <c r="BC42" s="92"/>
      <c r="BD42" s="481" t="s">
        <v>1</v>
      </c>
      <c r="BE42" s="483"/>
      <c r="BF42" s="482"/>
      <c r="BG42" s="1" t="s">
        <v>75</v>
      </c>
    </row>
    <row r="43" spans="1:59" x14ac:dyDescent="0.3">
      <c r="F43" s="87" t="s">
        <v>415</v>
      </c>
      <c r="I43" s="73" t="s">
        <v>50</v>
      </c>
      <c r="J43" s="74" t="s">
        <v>2</v>
      </c>
      <c r="K43" s="74" t="s">
        <v>2</v>
      </c>
      <c r="L43" s="74" t="s">
        <v>226</v>
      </c>
      <c r="M43" s="74" t="s">
        <v>226</v>
      </c>
      <c r="N43" s="74" t="s">
        <v>224</v>
      </c>
      <c r="O43" s="104"/>
      <c r="P43" s="104"/>
      <c r="Q43" s="104"/>
      <c r="R43" s="104"/>
      <c r="S43" s="104"/>
      <c r="T43" s="104"/>
      <c r="U43" s="105" t="s">
        <v>2</v>
      </c>
      <c r="X43" s="3" t="s">
        <v>4</v>
      </c>
      <c r="Z43" s="3" t="s">
        <v>4</v>
      </c>
      <c r="AA43" s="4" t="s">
        <v>4</v>
      </c>
      <c r="AB43" s="5" t="s">
        <v>4</v>
      </c>
      <c r="AC43" s="5" t="s">
        <v>6</v>
      </c>
      <c r="AE43" s="92"/>
      <c r="AF43" s="92"/>
      <c r="AG43" s="92"/>
      <c r="AH43" s="92"/>
      <c r="AI43" s="92"/>
      <c r="AJ43" s="92"/>
      <c r="AK43" s="92"/>
      <c r="AL43" s="92"/>
      <c r="AM43" s="73" t="s">
        <v>50</v>
      </c>
      <c r="AN43" s="74" t="s">
        <v>2</v>
      </c>
      <c r="AO43" s="74" t="s">
        <v>2</v>
      </c>
      <c r="AP43" s="74" t="s">
        <v>226</v>
      </c>
      <c r="AQ43" s="74" t="s">
        <v>224</v>
      </c>
      <c r="AR43" s="74"/>
      <c r="AS43" s="104"/>
      <c r="AT43" s="104"/>
      <c r="AU43" s="104"/>
      <c r="AV43" s="104"/>
      <c r="AW43" s="104"/>
      <c r="AX43" s="104"/>
      <c r="AY43" s="105" t="s">
        <v>2</v>
      </c>
      <c r="AZ43" s="92"/>
      <c r="BA43" s="92"/>
      <c r="BB43" s="3" t="s">
        <v>4</v>
      </c>
      <c r="BC43" s="92"/>
      <c r="BD43" s="3" t="s">
        <v>4</v>
      </c>
      <c r="BE43" s="4" t="s">
        <v>4</v>
      </c>
      <c r="BF43" s="5" t="s">
        <v>4</v>
      </c>
      <c r="BG43" s="5" t="s">
        <v>6</v>
      </c>
    </row>
    <row r="44" spans="1:59" ht="15" thickBot="1" x14ac:dyDescent="0.35">
      <c r="A44" s="2" t="s">
        <v>7</v>
      </c>
      <c r="B44" s="2" t="s">
        <v>8</v>
      </c>
      <c r="C44" s="2" t="s">
        <v>9</v>
      </c>
      <c r="D44" s="2" t="s">
        <v>10</v>
      </c>
      <c r="E44" s="2" t="s">
        <v>7</v>
      </c>
      <c r="F44" s="2" t="s">
        <v>11</v>
      </c>
      <c r="G44" s="2" t="s">
        <v>12</v>
      </c>
      <c r="H44" s="2" t="s">
        <v>13</v>
      </c>
      <c r="I44" s="75" t="s">
        <v>15</v>
      </c>
      <c r="J44" s="76" t="s">
        <v>14</v>
      </c>
      <c r="K44" s="76" t="s">
        <v>14</v>
      </c>
      <c r="L44" s="76" t="s">
        <v>15</v>
      </c>
      <c r="M44" s="76" t="s">
        <v>15</v>
      </c>
      <c r="N44" s="76" t="s">
        <v>15</v>
      </c>
      <c r="O44" s="106"/>
      <c r="P44" s="106"/>
      <c r="Q44" s="106"/>
      <c r="R44" s="106"/>
      <c r="S44" s="106"/>
      <c r="T44" s="106"/>
      <c r="U44" s="107" t="s">
        <v>14</v>
      </c>
      <c r="V44" s="2" t="s">
        <v>16</v>
      </c>
      <c r="X44" s="6" t="s">
        <v>17</v>
      </c>
      <c r="Z44" s="6" t="s">
        <v>5</v>
      </c>
      <c r="AA44" s="7" t="s">
        <v>15</v>
      </c>
      <c r="AB44" s="8" t="s">
        <v>18</v>
      </c>
      <c r="AC44" s="8" t="s">
        <v>0</v>
      </c>
      <c r="AE44" s="2" t="s">
        <v>7</v>
      </c>
      <c r="AF44" s="2" t="s">
        <v>8</v>
      </c>
      <c r="AG44" s="2" t="s">
        <v>9</v>
      </c>
      <c r="AH44" s="2" t="s">
        <v>10</v>
      </c>
      <c r="AI44" s="2" t="s">
        <v>7</v>
      </c>
      <c r="AJ44" s="2" t="s">
        <v>11</v>
      </c>
      <c r="AK44" s="2" t="s">
        <v>12</v>
      </c>
      <c r="AL44" s="2" t="s">
        <v>13</v>
      </c>
      <c r="AM44" s="75" t="s">
        <v>15</v>
      </c>
      <c r="AN44" s="76" t="s">
        <v>14</v>
      </c>
      <c r="AO44" s="76" t="s">
        <v>14</v>
      </c>
      <c r="AP44" s="76" t="s">
        <v>15</v>
      </c>
      <c r="AQ44" s="76" t="s">
        <v>15</v>
      </c>
      <c r="AR44" s="76"/>
      <c r="AS44" s="106"/>
      <c r="AT44" s="106"/>
      <c r="AU44" s="106"/>
      <c r="AV44" s="106"/>
      <c r="AW44" s="106"/>
      <c r="AX44" s="106"/>
      <c r="AY44" s="107" t="s">
        <v>14</v>
      </c>
      <c r="AZ44" s="2" t="s">
        <v>16</v>
      </c>
      <c r="BA44" s="92"/>
      <c r="BB44" s="6" t="s">
        <v>17</v>
      </c>
      <c r="BC44" s="92"/>
      <c r="BD44" s="6" t="s">
        <v>5</v>
      </c>
      <c r="BE44" s="7" t="s">
        <v>15</v>
      </c>
      <c r="BF44" s="8" t="s">
        <v>18</v>
      </c>
      <c r="BG44" s="8" t="s">
        <v>0</v>
      </c>
    </row>
    <row r="45" spans="1:59" x14ac:dyDescent="0.3">
      <c r="A45" s="9" t="s">
        <v>19</v>
      </c>
      <c r="B45" s="314">
        <v>146</v>
      </c>
      <c r="C45" s="99">
        <f>ROUND(Load!$E$43+'2022'!$E$70*0.485/672,0)</f>
        <v>123</v>
      </c>
      <c r="D45" s="2">
        <f t="shared" ref="D45:D68" si="34">SUM(B45:C45)</f>
        <v>269</v>
      </c>
      <c r="E45" s="9" t="s">
        <v>19</v>
      </c>
      <c r="F45" s="2"/>
      <c r="G45" s="2">
        <v>35</v>
      </c>
      <c r="H45" s="2"/>
      <c r="I45" s="73">
        <v>25</v>
      </c>
      <c r="J45" s="74">
        <v>100</v>
      </c>
      <c r="K45" s="74"/>
      <c r="L45" s="74">
        <v>50</v>
      </c>
      <c r="M45" s="74"/>
      <c r="N45" s="74">
        <v>75</v>
      </c>
      <c r="O45" s="104"/>
      <c r="P45" s="104"/>
      <c r="Q45" s="104"/>
      <c r="R45" s="104"/>
      <c r="S45" s="104"/>
      <c r="T45" s="104"/>
      <c r="U45" s="105"/>
      <c r="V45" s="2">
        <f t="shared" ref="V45:V68" si="35">SUM(F45:U45)</f>
        <v>285</v>
      </c>
      <c r="W45" s="10"/>
      <c r="X45" s="11">
        <f t="shared" ref="X45:X68" si="36">D45-V45</f>
        <v>-16</v>
      </c>
      <c r="Y45" s="10"/>
      <c r="Z45" s="12">
        <f t="shared" ref="Z45:Z68" si="37">142-F45-H45</f>
        <v>142</v>
      </c>
      <c r="AA45" s="12">
        <f>292-I45-L45-M45-N45</f>
        <v>142</v>
      </c>
      <c r="AB45" s="2">
        <f t="shared" ref="AB45:AB68" si="38">Z45+AA45</f>
        <v>284</v>
      </c>
      <c r="AC45" s="2">
        <f t="shared" ref="AC45:AC68" si="39">Z45+AA45-X45</f>
        <v>300</v>
      </c>
      <c r="AE45" s="9" t="s">
        <v>19</v>
      </c>
      <c r="AF45" s="314">
        <v>146</v>
      </c>
      <c r="AG45" s="99">
        <f>ROUND(Load!$E$43+'2022'!$E$70*0.485/672,0)</f>
        <v>123</v>
      </c>
      <c r="AH45" s="2">
        <f t="shared" ref="AH45:AH68" si="40">SUM(AF45:AG45)</f>
        <v>269</v>
      </c>
      <c r="AI45" s="9" t="s">
        <v>19</v>
      </c>
      <c r="AJ45" s="2"/>
      <c r="AK45" s="2">
        <v>35</v>
      </c>
      <c r="AL45" s="314"/>
      <c r="AM45" s="73">
        <v>25</v>
      </c>
      <c r="AN45" s="74">
        <v>100</v>
      </c>
      <c r="AO45" s="74"/>
      <c r="AP45" s="74">
        <v>50</v>
      </c>
      <c r="AQ45" s="74">
        <v>75</v>
      </c>
      <c r="AR45" s="74"/>
      <c r="AS45" s="104"/>
      <c r="AT45" s="104"/>
      <c r="AU45" s="104"/>
      <c r="AV45" s="104"/>
      <c r="AW45" s="104"/>
      <c r="AX45" s="104"/>
      <c r="AY45" s="105"/>
      <c r="AZ45" s="2">
        <f t="shared" ref="AZ45:AZ68" si="41">SUM(AJ45:AY45)</f>
        <v>285</v>
      </c>
      <c r="BA45" s="10"/>
      <c r="BB45" s="11">
        <f t="shared" ref="BB45:BB68" si="42">AH45-AZ45</f>
        <v>-16</v>
      </c>
      <c r="BC45" s="10"/>
      <c r="BD45" s="12">
        <f t="shared" ref="BD45:BD68" si="43">142-AJ45-AL45</f>
        <v>142</v>
      </c>
      <c r="BE45" s="12">
        <f>292-AM45-AP45-AQ45</f>
        <v>142</v>
      </c>
      <c r="BF45" s="2">
        <f t="shared" ref="BF45:BF68" si="44">BD45+BE45</f>
        <v>284</v>
      </c>
      <c r="BG45" s="2">
        <f t="shared" ref="BG45:BG68" si="45">BD45+BE45-BB45</f>
        <v>300</v>
      </c>
    </row>
    <row r="46" spans="1:59" x14ac:dyDescent="0.3">
      <c r="A46" s="9" t="s">
        <v>20</v>
      </c>
      <c r="B46" s="314">
        <v>146</v>
      </c>
      <c r="C46" s="99">
        <f>ROUND(Load!$E$43+'2022'!$E$70*0.485/672,0)</f>
        <v>123</v>
      </c>
      <c r="D46" s="2">
        <f t="shared" si="34"/>
        <v>269</v>
      </c>
      <c r="E46" s="9" t="s">
        <v>20</v>
      </c>
      <c r="F46" s="2"/>
      <c r="G46" s="2">
        <v>35</v>
      </c>
      <c r="H46" s="2"/>
      <c r="I46" s="77">
        <v>25</v>
      </c>
      <c r="J46" s="78">
        <v>100</v>
      </c>
      <c r="K46" s="78"/>
      <c r="L46" s="78">
        <v>50</v>
      </c>
      <c r="M46" s="78"/>
      <c r="N46" s="78">
        <v>75</v>
      </c>
      <c r="O46" s="108"/>
      <c r="P46" s="108"/>
      <c r="Q46" s="108"/>
      <c r="R46" s="108"/>
      <c r="S46" s="108"/>
      <c r="T46" s="108"/>
      <c r="U46" s="109"/>
      <c r="V46" s="2">
        <f t="shared" si="35"/>
        <v>285</v>
      </c>
      <c r="W46" s="10"/>
      <c r="X46" s="11">
        <f t="shared" si="36"/>
        <v>-16</v>
      </c>
      <c r="Y46" s="10"/>
      <c r="Z46" s="12">
        <f t="shared" si="37"/>
        <v>142</v>
      </c>
      <c r="AA46" s="12">
        <f t="shared" ref="AA46:AA50" si="46">292-I46-L46-M46-N46</f>
        <v>142</v>
      </c>
      <c r="AB46" s="2">
        <f t="shared" si="38"/>
        <v>284</v>
      </c>
      <c r="AC46" s="2">
        <f t="shared" si="39"/>
        <v>300</v>
      </c>
      <c r="AE46" s="9" t="s">
        <v>20</v>
      </c>
      <c r="AF46" s="314">
        <v>146</v>
      </c>
      <c r="AG46" s="99">
        <f>ROUND(Load!$E$43+'2022'!$E$70*0.485/672,0)</f>
        <v>123</v>
      </c>
      <c r="AH46" s="2">
        <f t="shared" si="40"/>
        <v>269</v>
      </c>
      <c r="AI46" s="9" t="s">
        <v>20</v>
      </c>
      <c r="AJ46" s="2"/>
      <c r="AK46" s="2">
        <v>35</v>
      </c>
      <c r="AL46" s="314"/>
      <c r="AM46" s="77">
        <v>25</v>
      </c>
      <c r="AN46" s="78">
        <v>100</v>
      </c>
      <c r="AO46" s="78"/>
      <c r="AP46" s="78">
        <v>50</v>
      </c>
      <c r="AQ46" s="78">
        <v>75</v>
      </c>
      <c r="AR46" s="78"/>
      <c r="AS46" s="108"/>
      <c r="AT46" s="108"/>
      <c r="AU46" s="108"/>
      <c r="AV46" s="108"/>
      <c r="AW46" s="108"/>
      <c r="AX46" s="108"/>
      <c r="AY46" s="109"/>
      <c r="AZ46" s="2">
        <f t="shared" si="41"/>
        <v>285</v>
      </c>
      <c r="BA46" s="10"/>
      <c r="BB46" s="11">
        <f t="shared" si="42"/>
        <v>-16</v>
      </c>
      <c r="BC46" s="10"/>
      <c r="BD46" s="12">
        <f t="shared" si="43"/>
        <v>142</v>
      </c>
      <c r="BE46" s="12">
        <f t="shared" ref="BE46:BE68" si="47">292-AM46-AP46-AQ46</f>
        <v>142</v>
      </c>
      <c r="BF46" s="2">
        <f t="shared" si="44"/>
        <v>284</v>
      </c>
      <c r="BG46" s="2">
        <f t="shared" si="45"/>
        <v>300</v>
      </c>
    </row>
    <row r="47" spans="1:59" x14ac:dyDescent="0.3">
      <c r="A47" s="9" t="s">
        <v>21</v>
      </c>
      <c r="B47" s="314">
        <v>146</v>
      </c>
      <c r="C47" s="99">
        <f>ROUND(Load!$E$43+'2022'!$E$70*0.485/672,0)</f>
        <v>123</v>
      </c>
      <c r="D47" s="2">
        <f t="shared" si="34"/>
        <v>269</v>
      </c>
      <c r="E47" s="9" t="s">
        <v>21</v>
      </c>
      <c r="F47" s="2"/>
      <c r="G47" s="2">
        <v>35</v>
      </c>
      <c r="H47" s="2"/>
      <c r="I47" s="77">
        <v>25</v>
      </c>
      <c r="J47" s="78">
        <v>100</v>
      </c>
      <c r="K47" s="78"/>
      <c r="L47" s="78">
        <v>50</v>
      </c>
      <c r="M47" s="78"/>
      <c r="N47" s="78">
        <v>75</v>
      </c>
      <c r="O47" s="108"/>
      <c r="P47" s="108"/>
      <c r="Q47" s="108"/>
      <c r="R47" s="108"/>
      <c r="S47" s="108"/>
      <c r="T47" s="108"/>
      <c r="U47" s="109"/>
      <c r="V47" s="2">
        <f t="shared" si="35"/>
        <v>285</v>
      </c>
      <c r="W47" s="10"/>
      <c r="X47" s="11">
        <f t="shared" si="36"/>
        <v>-16</v>
      </c>
      <c r="Y47" s="10"/>
      <c r="Z47" s="12">
        <f t="shared" si="37"/>
        <v>142</v>
      </c>
      <c r="AA47" s="12">
        <f t="shared" si="46"/>
        <v>142</v>
      </c>
      <c r="AB47" s="2">
        <f t="shared" si="38"/>
        <v>284</v>
      </c>
      <c r="AC47" s="2">
        <f t="shared" si="39"/>
        <v>300</v>
      </c>
      <c r="AE47" s="9" t="s">
        <v>21</v>
      </c>
      <c r="AF47" s="314">
        <v>146</v>
      </c>
      <c r="AG47" s="99">
        <f>ROUND(Load!$E$43+'2022'!$E$70*0.485/672,0)</f>
        <v>123</v>
      </c>
      <c r="AH47" s="2">
        <f t="shared" si="40"/>
        <v>269</v>
      </c>
      <c r="AI47" s="9" t="s">
        <v>21</v>
      </c>
      <c r="AJ47" s="2"/>
      <c r="AK47" s="2">
        <v>35</v>
      </c>
      <c r="AL47" s="314"/>
      <c r="AM47" s="77">
        <v>25</v>
      </c>
      <c r="AN47" s="78">
        <v>100</v>
      </c>
      <c r="AO47" s="78"/>
      <c r="AP47" s="78">
        <v>50</v>
      </c>
      <c r="AQ47" s="78">
        <v>75</v>
      </c>
      <c r="AR47" s="78"/>
      <c r="AS47" s="108"/>
      <c r="AT47" s="108"/>
      <c r="AU47" s="108"/>
      <c r="AV47" s="108"/>
      <c r="AW47" s="108"/>
      <c r="AX47" s="108"/>
      <c r="AY47" s="109"/>
      <c r="AZ47" s="2">
        <f t="shared" si="41"/>
        <v>285</v>
      </c>
      <c r="BA47" s="10"/>
      <c r="BB47" s="11">
        <f t="shared" si="42"/>
        <v>-16</v>
      </c>
      <c r="BC47" s="10"/>
      <c r="BD47" s="12">
        <f t="shared" si="43"/>
        <v>142</v>
      </c>
      <c r="BE47" s="12">
        <f t="shared" si="47"/>
        <v>142</v>
      </c>
      <c r="BF47" s="2">
        <f t="shared" si="44"/>
        <v>284</v>
      </c>
      <c r="BG47" s="2">
        <f t="shared" si="45"/>
        <v>300</v>
      </c>
    </row>
    <row r="48" spans="1:59" x14ac:dyDescent="0.3">
      <c r="A48" s="9" t="s">
        <v>22</v>
      </c>
      <c r="B48" s="314">
        <v>146</v>
      </c>
      <c r="C48" s="99">
        <f>ROUND(Load!$E$43+'2022'!$E$70*0.485/672,0)</f>
        <v>123</v>
      </c>
      <c r="D48" s="2">
        <f t="shared" si="34"/>
        <v>269</v>
      </c>
      <c r="E48" s="9" t="s">
        <v>22</v>
      </c>
      <c r="F48" s="2"/>
      <c r="G48" s="2">
        <v>35</v>
      </c>
      <c r="H48" s="2"/>
      <c r="I48" s="77">
        <v>25</v>
      </c>
      <c r="J48" s="78">
        <v>100</v>
      </c>
      <c r="K48" s="78"/>
      <c r="L48" s="78">
        <v>50</v>
      </c>
      <c r="M48" s="78"/>
      <c r="N48" s="78">
        <v>75</v>
      </c>
      <c r="O48" s="108"/>
      <c r="P48" s="108"/>
      <c r="Q48" s="108"/>
      <c r="R48" s="108"/>
      <c r="S48" s="108"/>
      <c r="T48" s="108"/>
      <c r="U48" s="109"/>
      <c r="V48" s="2">
        <f t="shared" si="35"/>
        <v>285</v>
      </c>
      <c r="W48" s="10"/>
      <c r="X48" s="11">
        <f t="shared" si="36"/>
        <v>-16</v>
      </c>
      <c r="Y48" s="10"/>
      <c r="Z48" s="12">
        <f>142-F48-H48</f>
        <v>142</v>
      </c>
      <c r="AA48" s="12">
        <f t="shared" si="46"/>
        <v>142</v>
      </c>
      <c r="AB48" s="2">
        <f t="shared" si="38"/>
        <v>284</v>
      </c>
      <c r="AC48" s="2">
        <f t="shared" si="39"/>
        <v>300</v>
      </c>
      <c r="AE48" s="9" t="s">
        <v>22</v>
      </c>
      <c r="AF48" s="314">
        <v>146</v>
      </c>
      <c r="AG48" s="99">
        <f>ROUND(Load!$E$43+'2022'!$E$70*0.485/672,0)</f>
        <v>123</v>
      </c>
      <c r="AH48" s="2">
        <f t="shared" si="40"/>
        <v>269</v>
      </c>
      <c r="AI48" s="9" t="s">
        <v>22</v>
      </c>
      <c r="AJ48" s="2"/>
      <c r="AK48" s="2">
        <v>35</v>
      </c>
      <c r="AL48" s="314"/>
      <c r="AM48" s="77">
        <v>25</v>
      </c>
      <c r="AN48" s="78">
        <v>100</v>
      </c>
      <c r="AO48" s="78"/>
      <c r="AP48" s="78">
        <v>50</v>
      </c>
      <c r="AQ48" s="78">
        <v>75</v>
      </c>
      <c r="AR48" s="78"/>
      <c r="AS48" s="108"/>
      <c r="AT48" s="108"/>
      <c r="AU48" s="108"/>
      <c r="AV48" s="108"/>
      <c r="AW48" s="108"/>
      <c r="AX48" s="108"/>
      <c r="AY48" s="109"/>
      <c r="AZ48" s="2">
        <f t="shared" si="41"/>
        <v>285</v>
      </c>
      <c r="BA48" s="10"/>
      <c r="BB48" s="11">
        <f t="shared" si="42"/>
        <v>-16</v>
      </c>
      <c r="BC48" s="10"/>
      <c r="BD48" s="12">
        <f>142-AJ48-AL48</f>
        <v>142</v>
      </c>
      <c r="BE48" s="12">
        <f t="shared" si="47"/>
        <v>142</v>
      </c>
      <c r="BF48" s="2">
        <f t="shared" si="44"/>
        <v>284</v>
      </c>
      <c r="BG48" s="2">
        <f t="shared" si="45"/>
        <v>300</v>
      </c>
    </row>
    <row r="49" spans="1:59" x14ac:dyDescent="0.3">
      <c r="A49" s="9" t="s">
        <v>23</v>
      </c>
      <c r="B49" s="314">
        <v>146</v>
      </c>
      <c r="C49" s="99">
        <f>ROUND(Load!$E$43+'2022'!$E$70*0.485/672,0)</f>
        <v>123</v>
      </c>
      <c r="D49" s="2">
        <f t="shared" si="34"/>
        <v>269</v>
      </c>
      <c r="E49" s="9" t="s">
        <v>23</v>
      </c>
      <c r="F49" s="2"/>
      <c r="G49" s="2">
        <v>35</v>
      </c>
      <c r="H49" s="2"/>
      <c r="I49" s="77">
        <v>25</v>
      </c>
      <c r="J49" s="78">
        <v>100</v>
      </c>
      <c r="K49" s="78"/>
      <c r="L49" s="78">
        <v>50</v>
      </c>
      <c r="M49" s="78"/>
      <c r="N49" s="78">
        <v>75</v>
      </c>
      <c r="O49" s="108"/>
      <c r="P49" s="108"/>
      <c r="Q49" s="108"/>
      <c r="R49" s="108"/>
      <c r="S49" s="108"/>
      <c r="T49" s="108"/>
      <c r="U49" s="109"/>
      <c r="V49" s="2">
        <f t="shared" si="35"/>
        <v>285</v>
      </c>
      <c r="W49" s="10"/>
      <c r="X49" s="11">
        <f t="shared" si="36"/>
        <v>-16</v>
      </c>
      <c r="Y49" s="10"/>
      <c r="Z49" s="12">
        <f t="shared" si="37"/>
        <v>142</v>
      </c>
      <c r="AA49" s="12">
        <f t="shared" si="46"/>
        <v>142</v>
      </c>
      <c r="AB49" s="2">
        <f t="shared" si="38"/>
        <v>284</v>
      </c>
      <c r="AC49" s="2">
        <f t="shared" si="39"/>
        <v>300</v>
      </c>
      <c r="AE49" s="9" t="s">
        <v>23</v>
      </c>
      <c r="AF49" s="314">
        <v>146</v>
      </c>
      <c r="AG49" s="99">
        <f>ROUND(Load!$E$43+'2022'!$E$70*0.485/672,0)</f>
        <v>123</v>
      </c>
      <c r="AH49" s="2">
        <f t="shared" si="40"/>
        <v>269</v>
      </c>
      <c r="AI49" s="9" t="s">
        <v>23</v>
      </c>
      <c r="AJ49" s="2"/>
      <c r="AK49" s="2">
        <v>35</v>
      </c>
      <c r="AL49" s="314"/>
      <c r="AM49" s="77">
        <v>25</v>
      </c>
      <c r="AN49" s="78">
        <v>100</v>
      </c>
      <c r="AO49" s="78"/>
      <c r="AP49" s="78">
        <v>50</v>
      </c>
      <c r="AQ49" s="78">
        <v>75</v>
      </c>
      <c r="AR49" s="78"/>
      <c r="AS49" s="108"/>
      <c r="AT49" s="108"/>
      <c r="AU49" s="108"/>
      <c r="AV49" s="108"/>
      <c r="AW49" s="108"/>
      <c r="AX49" s="108"/>
      <c r="AY49" s="109"/>
      <c r="AZ49" s="2">
        <f t="shared" si="41"/>
        <v>285</v>
      </c>
      <c r="BA49" s="10"/>
      <c r="BB49" s="11">
        <f t="shared" si="42"/>
        <v>-16</v>
      </c>
      <c r="BC49" s="10"/>
      <c r="BD49" s="12">
        <f t="shared" si="43"/>
        <v>142</v>
      </c>
      <c r="BE49" s="12">
        <f t="shared" si="47"/>
        <v>142</v>
      </c>
      <c r="BF49" s="2">
        <f t="shared" si="44"/>
        <v>284</v>
      </c>
      <c r="BG49" s="2">
        <f t="shared" si="45"/>
        <v>300</v>
      </c>
    </row>
    <row r="50" spans="1:59" x14ac:dyDescent="0.3">
      <c r="A50" s="9" t="s">
        <v>24</v>
      </c>
      <c r="B50" s="314">
        <v>146</v>
      </c>
      <c r="C50" s="99">
        <f>ROUND(Load!$E$43+'2022'!$E$70*0.485/672,0)</f>
        <v>123</v>
      </c>
      <c r="D50" s="2">
        <f t="shared" si="34"/>
        <v>269</v>
      </c>
      <c r="E50" s="9" t="s">
        <v>24</v>
      </c>
      <c r="F50" s="2"/>
      <c r="G50" s="2">
        <v>35</v>
      </c>
      <c r="H50" s="2"/>
      <c r="I50" s="77">
        <v>25</v>
      </c>
      <c r="J50" s="78">
        <v>100</v>
      </c>
      <c r="K50" s="78"/>
      <c r="L50" s="78">
        <v>50</v>
      </c>
      <c r="M50" s="78"/>
      <c r="N50" s="78">
        <v>75</v>
      </c>
      <c r="O50" s="108"/>
      <c r="P50" s="108"/>
      <c r="Q50" s="108"/>
      <c r="R50" s="108"/>
      <c r="S50" s="108"/>
      <c r="T50" s="108"/>
      <c r="U50" s="109"/>
      <c r="V50" s="2">
        <f t="shared" si="35"/>
        <v>285</v>
      </c>
      <c r="W50" s="10"/>
      <c r="X50" s="11">
        <f t="shared" si="36"/>
        <v>-16</v>
      </c>
      <c r="Y50" s="10"/>
      <c r="Z50" s="12">
        <f t="shared" si="37"/>
        <v>142</v>
      </c>
      <c r="AA50" s="12">
        <f t="shared" si="46"/>
        <v>142</v>
      </c>
      <c r="AB50" s="2">
        <f t="shared" si="38"/>
        <v>284</v>
      </c>
      <c r="AC50" s="2">
        <f t="shared" si="39"/>
        <v>300</v>
      </c>
      <c r="AE50" s="9" t="s">
        <v>24</v>
      </c>
      <c r="AF50" s="314">
        <v>146</v>
      </c>
      <c r="AG50" s="99">
        <f>ROUND(Load!$E$43+'2022'!$E$70*0.485/672,0)</f>
        <v>123</v>
      </c>
      <c r="AH50" s="2">
        <f t="shared" si="40"/>
        <v>269</v>
      </c>
      <c r="AI50" s="9" t="s">
        <v>24</v>
      </c>
      <c r="AJ50" s="2"/>
      <c r="AK50" s="2">
        <v>35</v>
      </c>
      <c r="AL50" s="314"/>
      <c r="AM50" s="77">
        <v>25</v>
      </c>
      <c r="AN50" s="78">
        <v>100</v>
      </c>
      <c r="AO50" s="78"/>
      <c r="AP50" s="78">
        <v>50</v>
      </c>
      <c r="AQ50" s="78">
        <v>75</v>
      </c>
      <c r="AR50" s="78"/>
      <c r="AS50" s="108"/>
      <c r="AT50" s="108"/>
      <c r="AU50" s="108"/>
      <c r="AV50" s="108"/>
      <c r="AW50" s="108"/>
      <c r="AX50" s="108"/>
      <c r="AY50" s="109"/>
      <c r="AZ50" s="2">
        <f t="shared" si="41"/>
        <v>285</v>
      </c>
      <c r="BA50" s="10"/>
      <c r="BB50" s="11">
        <f t="shared" si="42"/>
        <v>-16</v>
      </c>
      <c r="BC50" s="10"/>
      <c r="BD50" s="12">
        <f t="shared" si="43"/>
        <v>142</v>
      </c>
      <c r="BE50" s="12">
        <f t="shared" si="47"/>
        <v>142</v>
      </c>
      <c r="BF50" s="2">
        <f t="shared" si="44"/>
        <v>284</v>
      </c>
      <c r="BG50" s="2">
        <f t="shared" si="45"/>
        <v>300</v>
      </c>
    </row>
    <row r="51" spans="1:59" x14ac:dyDescent="0.3">
      <c r="A51" s="9" t="s">
        <v>25</v>
      </c>
      <c r="B51" s="314"/>
      <c r="C51" s="99">
        <f>ROUND(Load!$E$43+'2022'!$E$70*0.485/672,0)</f>
        <v>123</v>
      </c>
      <c r="D51" s="2">
        <f t="shared" si="34"/>
        <v>123</v>
      </c>
      <c r="E51" s="9" t="s">
        <v>25</v>
      </c>
      <c r="F51" s="2">
        <f>'Hoover with 30 MW Solar'!$C$39</f>
        <v>30</v>
      </c>
      <c r="G51" s="2">
        <v>35</v>
      </c>
      <c r="H51" s="2">
        <v>9</v>
      </c>
      <c r="I51" s="77"/>
      <c r="J51" s="78"/>
      <c r="K51" s="78">
        <v>100</v>
      </c>
      <c r="L51" s="78"/>
      <c r="M51" s="78">
        <v>50</v>
      </c>
      <c r="N51" s="78"/>
      <c r="O51" s="108"/>
      <c r="P51" s="108"/>
      <c r="Q51" s="108"/>
      <c r="R51" s="108"/>
      <c r="S51" s="108"/>
      <c r="T51" s="108"/>
      <c r="U51" s="109">
        <v>-12</v>
      </c>
      <c r="V51" s="2">
        <f t="shared" si="35"/>
        <v>212</v>
      </c>
      <c r="W51" s="10"/>
      <c r="X51" s="13">
        <f t="shared" si="36"/>
        <v>-89</v>
      </c>
      <c r="Y51" s="10"/>
      <c r="Z51" s="14">
        <f t="shared" si="37"/>
        <v>103</v>
      </c>
      <c r="AA51" s="14">
        <f>217-I51-L51-M51-N51</f>
        <v>167</v>
      </c>
      <c r="AB51" s="2">
        <f t="shared" si="38"/>
        <v>270</v>
      </c>
      <c r="AC51" s="2">
        <f t="shared" si="39"/>
        <v>359</v>
      </c>
      <c r="AE51" s="9" t="s">
        <v>25</v>
      </c>
      <c r="AF51" s="314"/>
      <c r="AG51" s="99">
        <f>ROUND(Load!$E$43+'2022'!$E$70*0.485/672,0)</f>
        <v>123</v>
      </c>
      <c r="AH51" s="2">
        <f t="shared" si="40"/>
        <v>123</v>
      </c>
      <c r="AI51" s="9" t="s">
        <v>25</v>
      </c>
      <c r="AJ51" s="2">
        <f>'Hoover with 30 MW Solar'!$C$39</f>
        <v>30</v>
      </c>
      <c r="AK51" s="2">
        <v>35</v>
      </c>
      <c r="AL51" s="314">
        <v>9</v>
      </c>
      <c r="AM51" s="77"/>
      <c r="AN51" s="78"/>
      <c r="AO51" s="78">
        <v>100</v>
      </c>
      <c r="AP51" s="78">
        <v>50</v>
      </c>
      <c r="AQ51" s="78">
        <v>75</v>
      </c>
      <c r="AR51" s="78"/>
      <c r="AS51" s="108"/>
      <c r="AT51" s="108"/>
      <c r="AU51" s="108"/>
      <c r="AV51" s="108"/>
      <c r="AW51" s="108"/>
      <c r="AX51" s="108"/>
      <c r="AY51" s="109">
        <v>-12</v>
      </c>
      <c r="AZ51" s="2">
        <f t="shared" si="41"/>
        <v>287</v>
      </c>
      <c r="BA51" s="10"/>
      <c r="BB51" s="13">
        <f t="shared" si="42"/>
        <v>-164</v>
      </c>
      <c r="BC51" s="10"/>
      <c r="BD51" s="14">
        <f t="shared" si="43"/>
        <v>103</v>
      </c>
      <c r="BE51" s="14">
        <f t="shared" si="47"/>
        <v>167</v>
      </c>
      <c r="BF51" s="2">
        <f t="shared" si="44"/>
        <v>270</v>
      </c>
      <c r="BG51" s="2">
        <f t="shared" si="45"/>
        <v>434</v>
      </c>
    </row>
    <row r="52" spans="1:59" x14ac:dyDescent="0.3">
      <c r="A52" s="9" t="s">
        <v>26</v>
      </c>
      <c r="B52" s="314"/>
      <c r="C52" s="99">
        <f>ROUND(Load!$E$43+'2022'!$E$70*0.485/672,0)</f>
        <v>123</v>
      </c>
      <c r="D52" s="2">
        <f t="shared" si="34"/>
        <v>123</v>
      </c>
      <c r="E52" s="9" t="s">
        <v>26</v>
      </c>
      <c r="F52" s="2">
        <f>'Hoover with 30 MW Solar'!$C$39</f>
        <v>30</v>
      </c>
      <c r="G52" s="2">
        <v>35</v>
      </c>
      <c r="H52" s="2">
        <v>10</v>
      </c>
      <c r="I52" s="77"/>
      <c r="J52" s="78"/>
      <c r="K52" s="78">
        <v>100</v>
      </c>
      <c r="L52" s="78"/>
      <c r="M52" s="78">
        <v>50</v>
      </c>
      <c r="N52" s="78"/>
      <c r="O52" s="108"/>
      <c r="P52" s="108"/>
      <c r="Q52" s="108"/>
      <c r="R52" s="108"/>
      <c r="S52" s="108"/>
      <c r="T52" s="108"/>
      <c r="U52" s="109">
        <v>-12</v>
      </c>
      <c r="V52" s="2">
        <f t="shared" si="35"/>
        <v>213</v>
      </c>
      <c r="W52" s="10"/>
      <c r="X52" s="13">
        <f t="shared" si="36"/>
        <v>-90</v>
      </c>
      <c r="Y52" s="10"/>
      <c r="Z52" s="14">
        <f t="shared" si="37"/>
        <v>102</v>
      </c>
      <c r="AA52" s="14">
        <f>217-I52-L52-M52-N52</f>
        <v>167</v>
      </c>
      <c r="AB52" s="2">
        <f t="shared" si="38"/>
        <v>269</v>
      </c>
      <c r="AC52" s="2">
        <f t="shared" si="39"/>
        <v>359</v>
      </c>
      <c r="AE52" s="9" t="s">
        <v>26</v>
      </c>
      <c r="AF52" s="314"/>
      <c r="AG52" s="99">
        <f>ROUND(Load!$E$43+'2022'!$E$70*0.485/672,0)</f>
        <v>123</v>
      </c>
      <c r="AH52" s="2">
        <f t="shared" si="40"/>
        <v>123</v>
      </c>
      <c r="AI52" s="9" t="s">
        <v>26</v>
      </c>
      <c r="AJ52" s="2">
        <f>'Hoover with 30 MW Solar'!$C$39</f>
        <v>30</v>
      </c>
      <c r="AK52" s="2">
        <v>35</v>
      </c>
      <c r="AL52" s="314">
        <v>10</v>
      </c>
      <c r="AM52" s="77"/>
      <c r="AN52" s="78"/>
      <c r="AO52" s="78">
        <v>100</v>
      </c>
      <c r="AP52" s="78">
        <v>50</v>
      </c>
      <c r="AQ52" s="78">
        <v>75</v>
      </c>
      <c r="AR52" s="78"/>
      <c r="AS52" s="108"/>
      <c r="AT52" s="108"/>
      <c r="AU52" s="108"/>
      <c r="AV52" s="108"/>
      <c r="AW52" s="108"/>
      <c r="AX52" s="108"/>
      <c r="AY52" s="109">
        <v>-12</v>
      </c>
      <c r="AZ52" s="2">
        <f t="shared" si="41"/>
        <v>288</v>
      </c>
      <c r="BA52" s="10"/>
      <c r="BB52" s="13">
        <f t="shared" si="42"/>
        <v>-165</v>
      </c>
      <c r="BC52" s="10"/>
      <c r="BD52" s="14">
        <f t="shared" si="43"/>
        <v>102</v>
      </c>
      <c r="BE52" s="14">
        <f t="shared" si="47"/>
        <v>167</v>
      </c>
      <c r="BF52" s="2">
        <f t="shared" si="44"/>
        <v>269</v>
      </c>
      <c r="BG52" s="2">
        <f t="shared" si="45"/>
        <v>434</v>
      </c>
    </row>
    <row r="53" spans="1:59" x14ac:dyDescent="0.3">
      <c r="A53" s="9" t="s">
        <v>27</v>
      </c>
      <c r="B53" s="314">
        <v>289</v>
      </c>
      <c r="C53" s="99">
        <f>ROUND(Load!$E$43+'2022'!$E$70*0.485/672,0)</f>
        <v>123</v>
      </c>
      <c r="D53" s="2">
        <f t="shared" si="34"/>
        <v>412</v>
      </c>
      <c r="E53" s="9" t="s">
        <v>27</v>
      </c>
      <c r="F53" s="2">
        <f>'Hoover with 30 MW Solar'!$C$39</f>
        <v>30</v>
      </c>
      <c r="G53" s="2">
        <v>35</v>
      </c>
      <c r="H53" s="2"/>
      <c r="I53" s="77"/>
      <c r="J53" s="78"/>
      <c r="K53" s="78">
        <v>100</v>
      </c>
      <c r="L53" s="78"/>
      <c r="M53" s="78">
        <v>50</v>
      </c>
      <c r="N53" s="78"/>
      <c r="O53" s="108"/>
      <c r="P53" s="108"/>
      <c r="Q53" s="108"/>
      <c r="R53" s="108"/>
      <c r="S53" s="108"/>
      <c r="T53" s="108"/>
      <c r="U53" s="109">
        <v>-12</v>
      </c>
      <c r="V53" s="2">
        <f t="shared" si="35"/>
        <v>203</v>
      </c>
      <c r="W53" s="10"/>
      <c r="X53" s="13">
        <f t="shared" si="36"/>
        <v>209</v>
      </c>
      <c r="Y53" s="10"/>
      <c r="Z53" s="14">
        <f t="shared" si="37"/>
        <v>112</v>
      </c>
      <c r="AA53" s="14">
        <f t="shared" ref="AA53:AA66" si="48">217-I53-L53-M53-N53</f>
        <v>167</v>
      </c>
      <c r="AB53" s="2">
        <f t="shared" si="38"/>
        <v>279</v>
      </c>
      <c r="AC53" s="2">
        <f t="shared" si="39"/>
        <v>70</v>
      </c>
      <c r="AE53" s="9" t="s">
        <v>27</v>
      </c>
      <c r="AF53" s="314">
        <v>289</v>
      </c>
      <c r="AG53" s="99">
        <f>ROUND(Load!$E$43+'2022'!$E$70*0.485/672,0)</f>
        <v>123</v>
      </c>
      <c r="AH53" s="2">
        <f t="shared" si="40"/>
        <v>412</v>
      </c>
      <c r="AI53" s="9" t="s">
        <v>27</v>
      </c>
      <c r="AJ53" s="2">
        <f>'Hoover with 30 MW Solar'!$C$39</f>
        <v>30</v>
      </c>
      <c r="AK53" s="2">
        <v>35</v>
      </c>
      <c r="AL53" s="314"/>
      <c r="AM53" s="77"/>
      <c r="AN53" s="78"/>
      <c r="AO53" s="78">
        <v>100</v>
      </c>
      <c r="AP53" s="78">
        <v>50</v>
      </c>
      <c r="AQ53" s="78">
        <v>75</v>
      </c>
      <c r="AR53" s="78"/>
      <c r="AS53" s="108"/>
      <c r="AT53" s="108"/>
      <c r="AU53" s="108"/>
      <c r="AV53" s="108"/>
      <c r="AW53" s="108"/>
      <c r="AX53" s="108"/>
      <c r="AY53" s="109">
        <v>-12</v>
      </c>
      <c r="AZ53" s="2">
        <f t="shared" si="41"/>
        <v>278</v>
      </c>
      <c r="BA53" s="10"/>
      <c r="BB53" s="13">
        <f t="shared" si="42"/>
        <v>134</v>
      </c>
      <c r="BC53" s="10"/>
      <c r="BD53" s="14">
        <f t="shared" si="43"/>
        <v>112</v>
      </c>
      <c r="BE53" s="14">
        <f t="shared" si="47"/>
        <v>167</v>
      </c>
      <c r="BF53" s="2">
        <f t="shared" si="44"/>
        <v>279</v>
      </c>
      <c r="BG53" s="2">
        <f t="shared" si="45"/>
        <v>145</v>
      </c>
    </row>
    <row r="54" spans="1:59" x14ac:dyDescent="0.3">
      <c r="A54" s="9" t="s">
        <v>28</v>
      </c>
      <c r="B54" s="314">
        <v>289</v>
      </c>
      <c r="C54" s="99">
        <f>ROUND(Load!$E$43+'2022'!$E$70*0.485/672,0)</f>
        <v>123</v>
      </c>
      <c r="D54" s="2">
        <f t="shared" si="34"/>
        <v>412</v>
      </c>
      <c r="E54" s="9" t="s">
        <v>28</v>
      </c>
      <c r="F54" s="2">
        <f>'Hoover with 30 MW Solar'!$C$39</f>
        <v>30</v>
      </c>
      <c r="G54" s="2">
        <v>35</v>
      </c>
      <c r="H54" s="2"/>
      <c r="I54" s="77"/>
      <c r="J54" s="78"/>
      <c r="K54" s="78">
        <v>100</v>
      </c>
      <c r="L54" s="78"/>
      <c r="M54" s="78">
        <v>50</v>
      </c>
      <c r="N54" s="78"/>
      <c r="O54" s="108"/>
      <c r="P54" s="108"/>
      <c r="Q54" s="108"/>
      <c r="R54" s="108"/>
      <c r="S54" s="108"/>
      <c r="T54" s="108"/>
      <c r="U54" s="109">
        <v>-12</v>
      </c>
      <c r="V54" s="2">
        <f t="shared" si="35"/>
        <v>203</v>
      </c>
      <c r="W54" s="10"/>
      <c r="X54" s="13">
        <f t="shared" si="36"/>
        <v>209</v>
      </c>
      <c r="Y54" s="10"/>
      <c r="Z54" s="14">
        <f t="shared" si="37"/>
        <v>112</v>
      </c>
      <c r="AA54" s="14">
        <f t="shared" si="48"/>
        <v>167</v>
      </c>
      <c r="AB54" s="2">
        <f t="shared" si="38"/>
        <v>279</v>
      </c>
      <c r="AC54" s="2">
        <f t="shared" si="39"/>
        <v>70</v>
      </c>
      <c r="AE54" s="9" t="s">
        <v>28</v>
      </c>
      <c r="AF54" s="314">
        <v>289</v>
      </c>
      <c r="AG54" s="99">
        <f>ROUND(Load!$E$43+'2022'!$E$70*0.485/672,0)</f>
        <v>123</v>
      </c>
      <c r="AH54" s="2">
        <f t="shared" si="40"/>
        <v>412</v>
      </c>
      <c r="AI54" s="9" t="s">
        <v>28</v>
      </c>
      <c r="AJ54" s="2">
        <f>'Hoover with 30 MW Solar'!$C$39</f>
        <v>30</v>
      </c>
      <c r="AK54" s="2">
        <v>35</v>
      </c>
      <c r="AL54" s="314"/>
      <c r="AM54" s="77"/>
      <c r="AN54" s="78"/>
      <c r="AO54" s="78">
        <v>100</v>
      </c>
      <c r="AP54" s="78">
        <v>50</v>
      </c>
      <c r="AQ54" s="78">
        <v>75</v>
      </c>
      <c r="AR54" s="78"/>
      <c r="AS54" s="108"/>
      <c r="AT54" s="108"/>
      <c r="AU54" s="108"/>
      <c r="AV54" s="108"/>
      <c r="AW54" s="108"/>
      <c r="AX54" s="108"/>
      <c r="AY54" s="109">
        <v>-12</v>
      </c>
      <c r="AZ54" s="2">
        <f t="shared" si="41"/>
        <v>278</v>
      </c>
      <c r="BA54" s="10"/>
      <c r="BB54" s="13">
        <f t="shared" si="42"/>
        <v>134</v>
      </c>
      <c r="BC54" s="10"/>
      <c r="BD54" s="14">
        <f t="shared" si="43"/>
        <v>112</v>
      </c>
      <c r="BE54" s="14">
        <f>292-AM54-AP54-AQ54</f>
        <v>167</v>
      </c>
      <c r="BF54" s="2">
        <f t="shared" si="44"/>
        <v>279</v>
      </c>
      <c r="BG54" s="2">
        <f t="shared" si="45"/>
        <v>145</v>
      </c>
    </row>
    <row r="55" spans="1:59" x14ac:dyDescent="0.3">
      <c r="A55" s="9" t="s">
        <v>29</v>
      </c>
      <c r="B55" s="314">
        <v>289</v>
      </c>
      <c r="C55" s="99">
        <f>ROUND(Load!$E$43+'2022'!$E$70*0.485/672,0)</f>
        <v>123</v>
      </c>
      <c r="D55" s="2">
        <f t="shared" si="34"/>
        <v>412</v>
      </c>
      <c r="E55" s="9" t="s">
        <v>29</v>
      </c>
      <c r="F55" s="2">
        <f>'Hoover with 30 MW Solar'!$C$39</f>
        <v>30</v>
      </c>
      <c r="G55" s="2">
        <v>35</v>
      </c>
      <c r="H55" s="2"/>
      <c r="I55" s="77"/>
      <c r="J55" s="78"/>
      <c r="K55" s="78">
        <v>100</v>
      </c>
      <c r="L55" s="78"/>
      <c r="M55" s="78">
        <v>50</v>
      </c>
      <c r="N55" s="78"/>
      <c r="O55" s="108"/>
      <c r="P55" s="108"/>
      <c r="Q55" s="108"/>
      <c r="R55" s="108"/>
      <c r="S55" s="108"/>
      <c r="T55" s="108"/>
      <c r="U55" s="109">
        <v>-12</v>
      </c>
      <c r="V55" s="2">
        <f t="shared" si="35"/>
        <v>203</v>
      </c>
      <c r="W55" s="10"/>
      <c r="X55" s="13">
        <f t="shared" si="36"/>
        <v>209</v>
      </c>
      <c r="Y55" s="10"/>
      <c r="Z55" s="14">
        <f t="shared" si="37"/>
        <v>112</v>
      </c>
      <c r="AA55" s="14">
        <f t="shared" si="48"/>
        <v>167</v>
      </c>
      <c r="AB55" s="2">
        <f t="shared" si="38"/>
        <v>279</v>
      </c>
      <c r="AC55" s="2">
        <f t="shared" si="39"/>
        <v>70</v>
      </c>
      <c r="AE55" s="9" t="s">
        <v>29</v>
      </c>
      <c r="AF55" s="314">
        <v>289</v>
      </c>
      <c r="AG55" s="99">
        <f>ROUND(Load!$E$43+'2022'!$E$70*0.485/672,0)</f>
        <v>123</v>
      </c>
      <c r="AH55" s="2">
        <f t="shared" si="40"/>
        <v>412</v>
      </c>
      <c r="AI55" s="9" t="s">
        <v>29</v>
      </c>
      <c r="AJ55" s="2">
        <f>'Hoover with 30 MW Solar'!$C$39</f>
        <v>30</v>
      </c>
      <c r="AK55" s="2">
        <v>35</v>
      </c>
      <c r="AL55" s="314"/>
      <c r="AM55" s="77"/>
      <c r="AN55" s="78"/>
      <c r="AO55" s="78">
        <v>100</v>
      </c>
      <c r="AP55" s="78">
        <v>50</v>
      </c>
      <c r="AQ55" s="78">
        <v>75</v>
      </c>
      <c r="AR55" s="78"/>
      <c r="AS55" s="108"/>
      <c r="AT55" s="108"/>
      <c r="AU55" s="108"/>
      <c r="AV55" s="108"/>
      <c r="AW55" s="108"/>
      <c r="AX55" s="108"/>
      <c r="AY55" s="109">
        <v>-12</v>
      </c>
      <c r="AZ55" s="2">
        <f t="shared" si="41"/>
        <v>278</v>
      </c>
      <c r="BA55" s="10"/>
      <c r="BB55" s="13">
        <f t="shared" si="42"/>
        <v>134</v>
      </c>
      <c r="BC55" s="10"/>
      <c r="BD55" s="14">
        <f t="shared" si="43"/>
        <v>112</v>
      </c>
      <c r="BE55" s="14">
        <f t="shared" si="47"/>
        <v>167</v>
      </c>
      <c r="BF55" s="2">
        <f t="shared" si="44"/>
        <v>279</v>
      </c>
      <c r="BG55" s="2">
        <f t="shared" si="45"/>
        <v>145</v>
      </c>
    </row>
    <row r="56" spans="1:59" x14ac:dyDescent="0.3">
      <c r="A56" s="9" t="s">
        <v>30</v>
      </c>
      <c r="B56" s="314">
        <v>289</v>
      </c>
      <c r="C56" s="99">
        <f>ROUND(Load!$E$43+'2022'!$E$70*0.485/672,0)</f>
        <v>123</v>
      </c>
      <c r="D56" s="2">
        <f t="shared" si="34"/>
        <v>412</v>
      </c>
      <c r="E56" s="9" t="s">
        <v>30</v>
      </c>
      <c r="F56" s="2">
        <f>'Hoover with 30 MW Solar'!$C$39</f>
        <v>30</v>
      </c>
      <c r="G56" s="2">
        <v>35</v>
      </c>
      <c r="H56" s="2"/>
      <c r="I56" s="77"/>
      <c r="J56" s="78"/>
      <c r="K56" s="78">
        <v>100</v>
      </c>
      <c r="L56" s="78"/>
      <c r="M56" s="78">
        <v>50</v>
      </c>
      <c r="N56" s="78"/>
      <c r="O56" s="108"/>
      <c r="P56" s="108"/>
      <c r="Q56" s="108"/>
      <c r="R56" s="108"/>
      <c r="S56" s="108"/>
      <c r="T56" s="108"/>
      <c r="U56" s="109">
        <v>-12</v>
      </c>
      <c r="V56" s="2">
        <f t="shared" si="35"/>
        <v>203</v>
      </c>
      <c r="W56" s="10"/>
      <c r="X56" s="13">
        <f t="shared" si="36"/>
        <v>209</v>
      </c>
      <c r="Y56" s="10"/>
      <c r="Z56" s="14">
        <f t="shared" si="37"/>
        <v>112</v>
      </c>
      <c r="AA56" s="14">
        <f t="shared" si="48"/>
        <v>167</v>
      </c>
      <c r="AB56" s="2">
        <f t="shared" si="38"/>
        <v>279</v>
      </c>
      <c r="AC56" s="2">
        <f t="shared" si="39"/>
        <v>70</v>
      </c>
      <c r="AE56" s="9" t="s">
        <v>30</v>
      </c>
      <c r="AF56" s="314">
        <v>289</v>
      </c>
      <c r="AG56" s="99">
        <f>ROUND(Load!$E$43+'2022'!$E$70*0.485/672,0)</f>
        <v>123</v>
      </c>
      <c r="AH56" s="2">
        <f t="shared" si="40"/>
        <v>412</v>
      </c>
      <c r="AI56" s="9" t="s">
        <v>30</v>
      </c>
      <c r="AJ56" s="2">
        <f>'Hoover with 30 MW Solar'!$C$39</f>
        <v>30</v>
      </c>
      <c r="AK56" s="2">
        <v>35</v>
      </c>
      <c r="AL56" s="314"/>
      <c r="AM56" s="77"/>
      <c r="AN56" s="78"/>
      <c r="AO56" s="78">
        <v>100</v>
      </c>
      <c r="AP56" s="78">
        <v>50</v>
      </c>
      <c r="AQ56" s="78">
        <v>75</v>
      </c>
      <c r="AR56" s="78"/>
      <c r="AS56" s="108"/>
      <c r="AT56" s="108"/>
      <c r="AU56" s="108"/>
      <c r="AV56" s="108"/>
      <c r="AW56" s="108"/>
      <c r="AX56" s="108"/>
      <c r="AY56" s="109">
        <v>-12</v>
      </c>
      <c r="AZ56" s="2">
        <f t="shared" si="41"/>
        <v>278</v>
      </c>
      <c r="BA56" s="10"/>
      <c r="BB56" s="13">
        <f t="shared" si="42"/>
        <v>134</v>
      </c>
      <c r="BC56" s="10"/>
      <c r="BD56" s="14">
        <f t="shared" si="43"/>
        <v>112</v>
      </c>
      <c r="BE56" s="14">
        <f t="shared" si="47"/>
        <v>167</v>
      </c>
      <c r="BF56" s="2">
        <f t="shared" si="44"/>
        <v>279</v>
      </c>
      <c r="BG56" s="2">
        <f t="shared" si="45"/>
        <v>145</v>
      </c>
    </row>
    <row r="57" spans="1:59" x14ac:dyDescent="0.3">
      <c r="A57" s="9" t="s">
        <v>31</v>
      </c>
      <c r="B57" s="314">
        <v>289</v>
      </c>
      <c r="C57" s="99">
        <f>ROUND(Load!$E$43+'2022'!$E$70*0.485/672,0)</f>
        <v>123</v>
      </c>
      <c r="D57" s="2">
        <f t="shared" si="34"/>
        <v>412</v>
      </c>
      <c r="E57" s="9" t="s">
        <v>31</v>
      </c>
      <c r="F57" s="2">
        <f>'Hoover with 30 MW Solar'!$C$39</f>
        <v>30</v>
      </c>
      <c r="G57" s="2">
        <v>35</v>
      </c>
      <c r="H57" s="2"/>
      <c r="I57" s="77"/>
      <c r="J57" s="78"/>
      <c r="K57" s="78">
        <v>100</v>
      </c>
      <c r="L57" s="78"/>
      <c r="M57" s="78">
        <v>50</v>
      </c>
      <c r="N57" s="78"/>
      <c r="O57" s="108"/>
      <c r="P57" s="108"/>
      <c r="Q57" s="108"/>
      <c r="R57" s="108"/>
      <c r="S57" s="108"/>
      <c r="T57" s="108"/>
      <c r="U57" s="109">
        <v>-12</v>
      </c>
      <c r="V57" s="2">
        <f t="shared" si="35"/>
        <v>203</v>
      </c>
      <c r="W57" s="10"/>
      <c r="X57" s="13">
        <f t="shared" si="36"/>
        <v>209</v>
      </c>
      <c r="Y57" s="10"/>
      <c r="Z57" s="14">
        <f>142-F57-H57</f>
        <v>112</v>
      </c>
      <c r="AA57" s="14">
        <f>217-I57-L57-M57-N57</f>
        <v>167</v>
      </c>
      <c r="AB57" s="2">
        <f t="shared" si="38"/>
        <v>279</v>
      </c>
      <c r="AC57" s="2">
        <f t="shared" si="39"/>
        <v>70</v>
      </c>
      <c r="AE57" s="9" t="s">
        <v>31</v>
      </c>
      <c r="AF57" s="314">
        <v>289</v>
      </c>
      <c r="AG57" s="99">
        <f>ROUND(Load!$E$43+'2022'!$E$70*0.485/672,0)</f>
        <v>123</v>
      </c>
      <c r="AH57" s="2">
        <f t="shared" si="40"/>
        <v>412</v>
      </c>
      <c r="AI57" s="9" t="s">
        <v>31</v>
      </c>
      <c r="AJ57" s="2">
        <f>'Hoover with 30 MW Solar'!$C$39</f>
        <v>30</v>
      </c>
      <c r="AK57" s="2">
        <v>35</v>
      </c>
      <c r="AL57" s="314"/>
      <c r="AM57" s="77"/>
      <c r="AN57" s="78"/>
      <c r="AO57" s="78">
        <v>100</v>
      </c>
      <c r="AP57" s="78">
        <v>50</v>
      </c>
      <c r="AQ57" s="78">
        <v>75</v>
      </c>
      <c r="AR57" s="78"/>
      <c r="AS57" s="108"/>
      <c r="AT57" s="108"/>
      <c r="AU57" s="108"/>
      <c r="AV57" s="108"/>
      <c r="AW57" s="108"/>
      <c r="AX57" s="108"/>
      <c r="AY57" s="109">
        <v>-12</v>
      </c>
      <c r="AZ57" s="2">
        <f t="shared" si="41"/>
        <v>278</v>
      </c>
      <c r="BA57" s="10"/>
      <c r="BB57" s="13">
        <f t="shared" si="42"/>
        <v>134</v>
      </c>
      <c r="BC57" s="10"/>
      <c r="BD57" s="14">
        <f t="shared" si="43"/>
        <v>112</v>
      </c>
      <c r="BE57" s="14">
        <f t="shared" si="47"/>
        <v>167</v>
      </c>
      <c r="BF57" s="2">
        <f t="shared" si="44"/>
        <v>279</v>
      </c>
      <c r="BG57" s="2">
        <f t="shared" si="45"/>
        <v>145</v>
      </c>
    </row>
    <row r="58" spans="1:59" x14ac:dyDescent="0.3">
      <c r="A58" s="9" t="s">
        <v>32</v>
      </c>
      <c r="B58" s="314">
        <v>289</v>
      </c>
      <c r="C58" s="99">
        <f>ROUND(Load!$E$43+'2022'!$E$70*0.485/672,0)</f>
        <v>123</v>
      </c>
      <c r="D58" s="2">
        <f t="shared" si="34"/>
        <v>412</v>
      </c>
      <c r="E58" s="9" t="s">
        <v>32</v>
      </c>
      <c r="F58" s="2">
        <f>'Hoover with 30 MW Solar'!$C$39</f>
        <v>30</v>
      </c>
      <c r="G58" s="2">
        <v>35</v>
      </c>
      <c r="H58" s="2"/>
      <c r="I58" s="77"/>
      <c r="J58" s="78"/>
      <c r="K58" s="78">
        <v>100</v>
      </c>
      <c r="L58" s="78"/>
      <c r="M58" s="78">
        <v>50</v>
      </c>
      <c r="N58" s="78"/>
      <c r="O58" s="108"/>
      <c r="P58" s="108"/>
      <c r="Q58" s="108"/>
      <c r="R58" s="108"/>
      <c r="S58" s="108"/>
      <c r="T58" s="108"/>
      <c r="U58" s="109">
        <v>-12</v>
      </c>
      <c r="V58" s="2">
        <f t="shared" si="35"/>
        <v>203</v>
      </c>
      <c r="W58" s="10"/>
      <c r="X58" s="13">
        <f t="shared" si="36"/>
        <v>209</v>
      </c>
      <c r="Y58" s="10"/>
      <c r="Z58" s="14">
        <f t="shared" si="37"/>
        <v>112</v>
      </c>
      <c r="AA58" s="14">
        <f t="shared" si="48"/>
        <v>167</v>
      </c>
      <c r="AB58" s="2">
        <f t="shared" si="38"/>
        <v>279</v>
      </c>
      <c r="AC58" s="2">
        <f t="shared" si="39"/>
        <v>70</v>
      </c>
      <c r="AE58" s="9" t="s">
        <v>32</v>
      </c>
      <c r="AF58" s="314">
        <v>289</v>
      </c>
      <c r="AG58" s="99">
        <f>ROUND(Load!$E$43+'2022'!$E$70*0.485/672,0)</f>
        <v>123</v>
      </c>
      <c r="AH58" s="2">
        <f t="shared" si="40"/>
        <v>412</v>
      </c>
      <c r="AI58" s="9" t="s">
        <v>32</v>
      </c>
      <c r="AJ58" s="2">
        <f>'Hoover with 30 MW Solar'!$C$39</f>
        <v>30</v>
      </c>
      <c r="AK58" s="2">
        <v>35</v>
      </c>
      <c r="AL58" s="314"/>
      <c r="AM58" s="77"/>
      <c r="AN58" s="78"/>
      <c r="AO58" s="78">
        <v>100</v>
      </c>
      <c r="AP58" s="78">
        <v>50</v>
      </c>
      <c r="AQ58" s="78">
        <v>75</v>
      </c>
      <c r="AR58" s="78"/>
      <c r="AS58" s="108"/>
      <c r="AT58" s="108"/>
      <c r="AU58" s="108"/>
      <c r="AV58" s="108"/>
      <c r="AW58" s="108"/>
      <c r="AX58" s="108"/>
      <c r="AY58" s="109">
        <v>-12</v>
      </c>
      <c r="AZ58" s="2">
        <f t="shared" si="41"/>
        <v>278</v>
      </c>
      <c r="BA58" s="10"/>
      <c r="BB58" s="13">
        <f t="shared" si="42"/>
        <v>134</v>
      </c>
      <c r="BC58" s="10"/>
      <c r="BD58" s="14">
        <f t="shared" si="43"/>
        <v>112</v>
      </c>
      <c r="BE58" s="14">
        <f t="shared" si="47"/>
        <v>167</v>
      </c>
      <c r="BF58" s="2">
        <f t="shared" si="44"/>
        <v>279</v>
      </c>
      <c r="BG58" s="2">
        <f t="shared" si="45"/>
        <v>145</v>
      </c>
    </row>
    <row r="59" spans="1:59" x14ac:dyDescent="0.3">
      <c r="A59" s="9" t="s">
        <v>33</v>
      </c>
      <c r="B59" s="314">
        <v>289</v>
      </c>
      <c r="C59" s="99">
        <f>ROUND(Load!$E$43+'2022'!$E$70*0.485/672,0)</f>
        <v>123</v>
      </c>
      <c r="D59" s="2">
        <f t="shared" si="34"/>
        <v>412</v>
      </c>
      <c r="E59" s="9" t="s">
        <v>33</v>
      </c>
      <c r="F59" s="2">
        <f>'Hoover with 30 MW Solar'!$C$39</f>
        <v>30</v>
      </c>
      <c r="G59" s="2">
        <v>35</v>
      </c>
      <c r="H59" s="2"/>
      <c r="I59" s="77"/>
      <c r="J59" s="78"/>
      <c r="K59" s="78">
        <v>100</v>
      </c>
      <c r="L59" s="78"/>
      <c r="M59" s="78">
        <v>50</v>
      </c>
      <c r="N59" s="78"/>
      <c r="O59" s="108"/>
      <c r="P59" s="108"/>
      <c r="Q59" s="108"/>
      <c r="R59" s="108"/>
      <c r="S59" s="108"/>
      <c r="T59" s="108"/>
      <c r="U59" s="109">
        <v>-12</v>
      </c>
      <c r="V59" s="2">
        <f t="shared" si="35"/>
        <v>203</v>
      </c>
      <c r="W59" s="10"/>
      <c r="X59" s="13">
        <f t="shared" si="36"/>
        <v>209</v>
      </c>
      <c r="Y59" s="10"/>
      <c r="Z59" s="14">
        <f t="shared" si="37"/>
        <v>112</v>
      </c>
      <c r="AA59" s="14">
        <f t="shared" si="48"/>
        <v>167</v>
      </c>
      <c r="AB59" s="2">
        <f t="shared" si="38"/>
        <v>279</v>
      </c>
      <c r="AC59" s="2">
        <f t="shared" si="39"/>
        <v>70</v>
      </c>
      <c r="AE59" s="9" t="s">
        <v>33</v>
      </c>
      <c r="AF59" s="314">
        <v>289</v>
      </c>
      <c r="AG59" s="99">
        <f>ROUND(Load!$E$43+'2022'!$E$70*0.485/672,0)</f>
        <v>123</v>
      </c>
      <c r="AH59" s="2">
        <f t="shared" si="40"/>
        <v>412</v>
      </c>
      <c r="AI59" s="9" t="s">
        <v>33</v>
      </c>
      <c r="AJ59" s="2">
        <f>'Hoover with 30 MW Solar'!$C$39</f>
        <v>30</v>
      </c>
      <c r="AK59" s="2">
        <v>35</v>
      </c>
      <c r="AL59" s="314"/>
      <c r="AM59" s="77"/>
      <c r="AN59" s="78"/>
      <c r="AO59" s="78">
        <v>100</v>
      </c>
      <c r="AP59" s="78">
        <v>50</v>
      </c>
      <c r="AQ59" s="78">
        <v>75</v>
      </c>
      <c r="AR59" s="78"/>
      <c r="AS59" s="108"/>
      <c r="AT59" s="108"/>
      <c r="AU59" s="108"/>
      <c r="AV59" s="108"/>
      <c r="AW59" s="108"/>
      <c r="AX59" s="108"/>
      <c r="AY59" s="109">
        <v>-12</v>
      </c>
      <c r="AZ59" s="2">
        <f t="shared" si="41"/>
        <v>278</v>
      </c>
      <c r="BA59" s="10"/>
      <c r="BB59" s="13">
        <f t="shared" si="42"/>
        <v>134</v>
      </c>
      <c r="BC59" s="10"/>
      <c r="BD59" s="14">
        <f t="shared" si="43"/>
        <v>112</v>
      </c>
      <c r="BE59" s="14">
        <f t="shared" si="47"/>
        <v>167</v>
      </c>
      <c r="BF59" s="2">
        <f t="shared" si="44"/>
        <v>279</v>
      </c>
      <c r="BG59" s="2">
        <f t="shared" si="45"/>
        <v>145</v>
      </c>
    </row>
    <row r="60" spans="1:59" x14ac:dyDescent="0.3">
      <c r="A60" s="9" t="s">
        <v>34</v>
      </c>
      <c r="B60" s="314">
        <v>289</v>
      </c>
      <c r="C60" s="99">
        <f>ROUND(Load!$E$43+'2022'!$E$70*0.485/672,0)</f>
        <v>123</v>
      </c>
      <c r="D60" s="2">
        <f t="shared" si="34"/>
        <v>412</v>
      </c>
      <c r="E60" s="9" t="s">
        <v>34</v>
      </c>
      <c r="F60" s="2">
        <f>'Hoover with 30 MW Solar'!$C$39</f>
        <v>30</v>
      </c>
      <c r="G60" s="2">
        <v>35</v>
      </c>
      <c r="H60" s="2"/>
      <c r="I60" s="77"/>
      <c r="J60" s="78"/>
      <c r="K60" s="78">
        <v>100</v>
      </c>
      <c r="L60" s="78"/>
      <c r="M60" s="78">
        <v>50</v>
      </c>
      <c r="N60" s="78"/>
      <c r="O60" s="108"/>
      <c r="P60" s="108"/>
      <c r="Q60" s="108"/>
      <c r="R60" s="108"/>
      <c r="S60" s="108"/>
      <c r="T60" s="108"/>
      <c r="U60" s="109">
        <v>-12</v>
      </c>
      <c r="V60" s="2">
        <f t="shared" si="35"/>
        <v>203</v>
      </c>
      <c r="W60" s="10"/>
      <c r="X60" s="13">
        <f t="shared" si="36"/>
        <v>209</v>
      </c>
      <c r="Y60" s="10"/>
      <c r="Z60" s="14">
        <f t="shared" si="37"/>
        <v>112</v>
      </c>
      <c r="AA60" s="14">
        <f t="shared" si="48"/>
        <v>167</v>
      </c>
      <c r="AB60" s="2">
        <f t="shared" si="38"/>
        <v>279</v>
      </c>
      <c r="AC60" s="2">
        <f t="shared" si="39"/>
        <v>70</v>
      </c>
      <c r="AE60" s="9" t="s">
        <v>34</v>
      </c>
      <c r="AF60" s="314">
        <v>146</v>
      </c>
      <c r="AG60" s="99">
        <f>ROUND(Load!$E$43+'2022'!$E$70*0.485/672,0)</f>
        <v>123</v>
      </c>
      <c r="AH60" s="2">
        <f t="shared" si="40"/>
        <v>269</v>
      </c>
      <c r="AI60" s="9" t="s">
        <v>34</v>
      </c>
      <c r="AJ60" s="2">
        <f>'Hoover with 30 MW Solar'!$C$39</f>
        <v>30</v>
      </c>
      <c r="AK60" s="2">
        <v>35</v>
      </c>
      <c r="AL60" s="314"/>
      <c r="AM60" s="77"/>
      <c r="AN60" s="78"/>
      <c r="AO60" s="78">
        <v>100</v>
      </c>
      <c r="AP60" s="78">
        <v>50</v>
      </c>
      <c r="AQ60" s="78">
        <v>75</v>
      </c>
      <c r="AR60" s="78"/>
      <c r="AS60" s="108"/>
      <c r="AT60" s="108"/>
      <c r="AU60" s="108"/>
      <c r="AV60" s="108"/>
      <c r="AW60" s="108"/>
      <c r="AX60" s="108"/>
      <c r="AY60" s="109">
        <v>-12</v>
      </c>
      <c r="AZ60" s="2">
        <f t="shared" si="41"/>
        <v>278</v>
      </c>
      <c r="BA60" s="10"/>
      <c r="BB60" s="13">
        <f t="shared" si="42"/>
        <v>-9</v>
      </c>
      <c r="BC60" s="10"/>
      <c r="BD60" s="14">
        <f t="shared" si="43"/>
        <v>112</v>
      </c>
      <c r="BE60" s="14">
        <f t="shared" si="47"/>
        <v>167</v>
      </c>
      <c r="BF60" s="2">
        <f t="shared" si="44"/>
        <v>279</v>
      </c>
      <c r="BG60" s="2">
        <f t="shared" si="45"/>
        <v>288</v>
      </c>
    </row>
    <row r="61" spans="1:59" x14ac:dyDescent="0.3">
      <c r="A61" s="9" t="s">
        <v>35</v>
      </c>
      <c r="B61" s="314"/>
      <c r="C61" s="99">
        <f>ROUND(Load!$E$43+'2022'!$E$70*0.485/672,0)</f>
        <v>123</v>
      </c>
      <c r="D61" s="2">
        <f t="shared" si="34"/>
        <v>123</v>
      </c>
      <c r="E61" s="9" t="s">
        <v>35</v>
      </c>
      <c r="F61" s="2">
        <f>'Hoover with 30 MW Solar'!$C$39</f>
        <v>30</v>
      </c>
      <c r="G61" s="2">
        <v>35</v>
      </c>
      <c r="H61" s="2"/>
      <c r="I61" s="77"/>
      <c r="J61" s="78"/>
      <c r="K61" s="78">
        <v>100</v>
      </c>
      <c r="L61" s="78"/>
      <c r="M61" s="78">
        <v>50</v>
      </c>
      <c r="N61" s="78"/>
      <c r="O61" s="108"/>
      <c r="P61" s="108"/>
      <c r="Q61" s="108"/>
      <c r="R61" s="108"/>
      <c r="S61" s="108"/>
      <c r="T61" s="108"/>
      <c r="U61" s="109">
        <v>-12</v>
      </c>
      <c r="V61" s="2">
        <f t="shared" si="35"/>
        <v>203</v>
      </c>
      <c r="W61" s="10"/>
      <c r="X61" s="13">
        <f t="shared" si="36"/>
        <v>-80</v>
      </c>
      <c r="Y61" s="10"/>
      <c r="Z61" s="14">
        <f t="shared" si="37"/>
        <v>112</v>
      </c>
      <c r="AA61" s="14">
        <f t="shared" si="48"/>
        <v>167</v>
      </c>
      <c r="AB61" s="2">
        <f t="shared" si="38"/>
        <v>279</v>
      </c>
      <c r="AC61" s="2">
        <f t="shared" si="39"/>
        <v>359</v>
      </c>
      <c r="AE61" s="9" t="s">
        <v>35</v>
      </c>
      <c r="AF61" s="314"/>
      <c r="AG61" s="99">
        <f>ROUND(Load!$E$43+'2022'!$E$70*0.485/672,0)</f>
        <v>123</v>
      </c>
      <c r="AH61" s="2">
        <f t="shared" si="40"/>
        <v>123</v>
      </c>
      <c r="AI61" s="9" t="s">
        <v>35</v>
      </c>
      <c r="AJ61" s="2">
        <f>'Hoover with 30 MW Solar'!$C$39</f>
        <v>30</v>
      </c>
      <c r="AK61" s="2">
        <v>35</v>
      </c>
      <c r="AL61" s="314"/>
      <c r="AM61" s="77"/>
      <c r="AN61" s="78"/>
      <c r="AO61" s="78">
        <v>100</v>
      </c>
      <c r="AP61" s="78">
        <v>50</v>
      </c>
      <c r="AQ61" s="78">
        <v>75</v>
      </c>
      <c r="AR61" s="78"/>
      <c r="AS61" s="108"/>
      <c r="AT61" s="108"/>
      <c r="AU61" s="108"/>
      <c r="AV61" s="108"/>
      <c r="AW61" s="108"/>
      <c r="AX61" s="108"/>
      <c r="AY61" s="109">
        <v>-12</v>
      </c>
      <c r="AZ61" s="2">
        <f t="shared" si="41"/>
        <v>278</v>
      </c>
      <c r="BA61" s="10"/>
      <c r="BB61" s="13">
        <f t="shared" si="42"/>
        <v>-155</v>
      </c>
      <c r="BC61" s="10"/>
      <c r="BD61" s="14">
        <f t="shared" si="43"/>
        <v>112</v>
      </c>
      <c r="BE61" s="14">
        <f t="shared" si="47"/>
        <v>167</v>
      </c>
      <c r="BF61" s="2">
        <f t="shared" si="44"/>
        <v>279</v>
      </c>
      <c r="BG61" s="2">
        <f t="shared" si="45"/>
        <v>434</v>
      </c>
    </row>
    <row r="62" spans="1:59" x14ac:dyDescent="0.3">
      <c r="A62" s="9" t="s">
        <v>36</v>
      </c>
      <c r="B62" s="314"/>
      <c r="C62" s="99">
        <f>ROUND(Load!$E$43+'2022'!$E$70*0.485/672,0)</f>
        <v>123</v>
      </c>
      <c r="D62" s="2">
        <f t="shared" si="34"/>
        <v>123</v>
      </c>
      <c r="E62" s="9" t="s">
        <v>36</v>
      </c>
      <c r="F62" s="2">
        <f>'Hoover with 30 MW Solar'!$C$39</f>
        <v>30</v>
      </c>
      <c r="G62" s="2">
        <v>35</v>
      </c>
      <c r="H62" s="2">
        <v>36</v>
      </c>
      <c r="I62" s="77"/>
      <c r="J62" s="78"/>
      <c r="K62" s="78">
        <v>100</v>
      </c>
      <c r="L62" s="78"/>
      <c r="M62" s="78">
        <v>50</v>
      </c>
      <c r="N62" s="78"/>
      <c r="O62" s="108"/>
      <c r="P62" s="108"/>
      <c r="Q62" s="108"/>
      <c r="R62" s="108"/>
      <c r="S62" s="108"/>
      <c r="T62" s="108"/>
      <c r="U62" s="109">
        <v>-12</v>
      </c>
      <c r="V62" s="2">
        <f t="shared" si="35"/>
        <v>239</v>
      </c>
      <c r="W62" s="10"/>
      <c r="X62" s="13">
        <f t="shared" si="36"/>
        <v>-116</v>
      </c>
      <c r="Y62" s="10"/>
      <c r="Z62" s="14">
        <f t="shared" si="37"/>
        <v>76</v>
      </c>
      <c r="AA62" s="14">
        <f t="shared" si="48"/>
        <v>167</v>
      </c>
      <c r="AB62" s="2">
        <f t="shared" si="38"/>
        <v>243</v>
      </c>
      <c r="AC62" s="2">
        <f t="shared" si="39"/>
        <v>359</v>
      </c>
      <c r="AE62" s="9" t="s">
        <v>36</v>
      </c>
      <c r="AF62" s="314"/>
      <c r="AG62" s="99">
        <f>ROUND(Load!$E$43+'2022'!$E$70*0.485/672,0)</f>
        <v>123</v>
      </c>
      <c r="AH62" s="2">
        <f t="shared" si="40"/>
        <v>123</v>
      </c>
      <c r="AI62" s="9" t="s">
        <v>36</v>
      </c>
      <c r="AJ62" s="2">
        <f>'Hoover with 30 MW Solar'!$C$39</f>
        <v>30</v>
      </c>
      <c r="AK62" s="2">
        <v>35</v>
      </c>
      <c r="AL62" s="314">
        <v>36</v>
      </c>
      <c r="AM62" s="77"/>
      <c r="AN62" s="78"/>
      <c r="AO62" s="78">
        <v>100</v>
      </c>
      <c r="AP62" s="78">
        <v>50</v>
      </c>
      <c r="AQ62" s="78">
        <v>75</v>
      </c>
      <c r="AR62" s="78"/>
      <c r="AS62" s="108"/>
      <c r="AT62" s="108"/>
      <c r="AU62" s="108"/>
      <c r="AV62" s="108"/>
      <c r="AW62" s="108"/>
      <c r="AX62" s="108"/>
      <c r="AY62" s="109">
        <v>-12</v>
      </c>
      <c r="AZ62" s="2">
        <f t="shared" si="41"/>
        <v>314</v>
      </c>
      <c r="BA62" s="10"/>
      <c r="BB62" s="13">
        <f t="shared" si="42"/>
        <v>-191</v>
      </c>
      <c r="BC62" s="10"/>
      <c r="BD62" s="14">
        <f t="shared" si="43"/>
        <v>76</v>
      </c>
      <c r="BE62" s="14">
        <f t="shared" si="47"/>
        <v>167</v>
      </c>
      <c r="BF62" s="2">
        <f t="shared" si="44"/>
        <v>243</v>
      </c>
      <c r="BG62" s="2">
        <f t="shared" si="45"/>
        <v>434</v>
      </c>
    </row>
    <row r="63" spans="1:59" x14ac:dyDescent="0.3">
      <c r="A63" s="9" t="s">
        <v>37</v>
      </c>
      <c r="B63" s="314"/>
      <c r="C63" s="99">
        <f>ROUND(Load!$E$43+'2022'!$E$70*0.485/672,0)</f>
        <v>123</v>
      </c>
      <c r="D63" s="2">
        <f t="shared" si="34"/>
        <v>123</v>
      </c>
      <c r="E63" s="9" t="s">
        <v>37</v>
      </c>
      <c r="F63" s="2">
        <f>'Hoover with 30 MW Solar'!$C$39</f>
        <v>30</v>
      </c>
      <c r="G63" s="2">
        <v>35</v>
      </c>
      <c r="H63" s="2">
        <v>36</v>
      </c>
      <c r="I63" s="77"/>
      <c r="J63" s="78"/>
      <c r="K63" s="78">
        <v>100</v>
      </c>
      <c r="L63" s="78"/>
      <c r="M63" s="78">
        <v>50</v>
      </c>
      <c r="N63" s="78"/>
      <c r="O63" s="108"/>
      <c r="P63" s="108"/>
      <c r="Q63" s="108"/>
      <c r="R63" s="108"/>
      <c r="S63" s="108"/>
      <c r="T63" s="108"/>
      <c r="U63" s="109">
        <v>-12</v>
      </c>
      <c r="V63" s="2">
        <f t="shared" si="35"/>
        <v>239</v>
      </c>
      <c r="W63" s="10"/>
      <c r="X63" s="13">
        <f t="shared" si="36"/>
        <v>-116</v>
      </c>
      <c r="Y63" s="10"/>
      <c r="Z63" s="14">
        <f t="shared" si="37"/>
        <v>76</v>
      </c>
      <c r="AA63" s="14">
        <f t="shared" si="48"/>
        <v>167</v>
      </c>
      <c r="AB63" s="2">
        <f t="shared" si="38"/>
        <v>243</v>
      </c>
      <c r="AC63" s="2">
        <f t="shared" si="39"/>
        <v>359</v>
      </c>
      <c r="AE63" s="9" t="s">
        <v>37</v>
      </c>
      <c r="AF63" s="314"/>
      <c r="AG63" s="99">
        <f>ROUND(Load!$E$43+'2022'!$E$70*0.485/672,0)</f>
        <v>123</v>
      </c>
      <c r="AH63" s="2">
        <f t="shared" si="40"/>
        <v>123</v>
      </c>
      <c r="AI63" s="9" t="s">
        <v>37</v>
      </c>
      <c r="AJ63" s="2">
        <f>'Hoover with 30 MW Solar'!$C$39</f>
        <v>30</v>
      </c>
      <c r="AK63" s="2">
        <v>35</v>
      </c>
      <c r="AL63" s="314">
        <v>36</v>
      </c>
      <c r="AM63" s="77"/>
      <c r="AN63" s="78"/>
      <c r="AO63" s="78">
        <v>100</v>
      </c>
      <c r="AP63" s="78">
        <v>50</v>
      </c>
      <c r="AQ63" s="78">
        <v>75</v>
      </c>
      <c r="AR63" s="78"/>
      <c r="AS63" s="108"/>
      <c r="AT63" s="108"/>
      <c r="AU63" s="108"/>
      <c r="AV63" s="108"/>
      <c r="AW63" s="108"/>
      <c r="AX63" s="108"/>
      <c r="AY63" s="109">
        <v>-12</v>
      </c>
      <c r="AZ63" s="2">
        <f t="shared" si="41"/>
        <v>314</v>
      </c>
      <c r="BA63" s="10"/>
      <c r="BB63" s="13">
        <f t="shared" si="42"/>
        <v>-191</v>
      </c>
      <c r="BC63" s="10"/>
      <c r="BD63" s="14">
        <f t="shared" si="43"/>
        <v>76</v>
      </c>
      <c r="BE63" s="14">
        <f t="shared" si="47"/>
        <v>167</v>
      </c>
      <c r="BF63" s="2">
        <f t="shared" si="44"/>
        <v>243</v>
      </c>
      <c r="BG63" s="2">
        <f t="shared" si="45"/>
        <v>434</v>
      </c>
    </row>
    <row r="64" spans="1:59" x14ac:dyDescent="0.3">
      <c r="A64" s="9" t="s">
        <v>38</v>
      </c>
      <c r="B64" s="314"/>
      <c r="C64" s="99">
        <f>ROUND(Load!$E$43+'2022'!$E$70*0.485/672,0)</f>
        <v>123</v>
      </c>
      <c r="D64" s="2">
        <f t="shared" si="34"/>
        <v>123</v>
      </c>
      <c r="E64" s="9" t="s">
        <v>38</v>
      </c>
      <c r="F64" s="2">
        <f>'Hoover with 30 MW Solar'!$C$39</f>
        <v>30</v>
      </c>
      <c r="G64" s="2">
        <v>35</v>
      </c>
      <c r="H64" s="2">
        <v>36</v>
      </c>
      <c r="I64" s="77"/>
      <c r="J64" s="78"/>
      <c r="K64" s="78">
        <v>100</v>
      </c>
      <c r="L64" s="78"/>
      <c r="M64" s="78">
        <v>50</v>
      </c>
      <c r="N64" s="78"/>
      <c r="O64" s="108"/>
      <c r="P64" s="108"/>
      <c r="Q64" s="108"/>
      <c r="R64" s="108"/>
      <c r="S64" s="108"/>
      <c r="T64" s="108"/>
      <c r="U64" s="109">
        <v>-12</v>
      </c>
      <c r="V64" s="2">
        <f t="shared" si="35"/>
        <v>239</v>
      </c>
      <c r="W64" s="10"/>
      <c r="X64" s="13">
        <f t="shared" si="36"/>
        <v>-116</v>
      </c>
      <c r="Y64" s="10"/>
      <c r="Z64" s="14">
        <f t="shared" si="37"/>
        <v>76</v>
      </c>
      <c r="AA64" s="14">
        <f t="shared" si="48"/>
        <v>167</v>
      </c>
      <c r="AB64" s="2">
        <f t="shared" si="38"/>
        <v>243</v>
      </c>
      <c r="AC64" s="2">
        <f t="shared" si="39"/>
        <v>359</v>
      </c>
      <c r="AE64" s="9" t="s">
        <v>38</v>
      </c>
      <c r="AF64" s="314"/>
      <c r="AG64" s="99">
        <f>ROUND(Load!$E$43+'2022'!$E$70*0.485/672,0)</f>
        <v>123</v>
      </c>
      <c r="AH64" s="2">
        <f t="shared" si="40"/>
        <v>123</v>
      </c>
      <c r="AI64" s="9" t="s">
        <v>38</v>
      </c>
      <c r="AJ64" s="2">
        <f>'Hoover with 30 MW Solar'!$C$39</f>
        <v>30</v>
      </c>
      <c r="AK64" s="2">
        <v>35</v>
      </c>
      <c r="AL64" s="314">
        <v>36</v>
      </c>
      <c r="AM64" s="77"/>
      <c r="AN64" s="78"/>
      <c r="AO64" s="78">
        <v>100</v>
      </c>
      <c r="AP64" s="78">
        <v>50</v>
      </c>
      <c r="AQ64" s="78">
        <v>75</v>
      </c>
      <c r="AR64" s="78"/>
      <c r="AS64" s="108"/>
      <c r="AT64" s="108"/>
      <c r="AU64" s="108"/>
      <c r="AV64" s="108"/>
      <c r="AW64" s="108"/>
      <c r="AX64" s="108"/>
      <c r="AY64" s="109">
        <v>-12</v>
      </c>
      <c r="AZ64" s="2">
        <f t="shared" si="41"/>
        <v>314</v>
      </c>
      <c r="BA64" s="10"/>
      <c r="BB64" s="13">
        <f t="shared" si="42"/>
        <v>-191</v>
      </c>
      <c r="BC64" s="10"/>
      <c r="BD64" s="14">
        <f t="shared" si="43"/>
        <v>76</v>
      </c>
      <c r="BE64" s="14">
        <f t="shared" si="47"/>
        <v>167</v>
      </c>
      <c r="BF64" s="2">
        <f t="shared" si="44"/>
        <v>243</v>
      </c>
      <c r="BG64" s="2">
        <f t="shared" si="45"/>
        <v>434</v>
      </c>
    </row>
    <row r="65" spans="1:59" x14ac:dyDescent="0.3">
      <c r="A65" s="9" t="s">
        <v>39</v>
      </c>
      <c r="B65" s="314"/>
      <c r="C65" s="99">
        <f>ROUND(Load!$E$43+'2022'!$E$70*0.485/672,0)</f>
        <v>123</v>
      </c>
      <c r="D65" s="2">
        <f t="shared" si="34"/>
        <v>123</v>
      </c>
      <c r="E65" s="9" t="s">
        <v>39</v>
      </c>
      <c r="F65" s="2">
        <f>'Hoover with 30 MW Solar'!$C$39</f>
        <v>30</v>
      </c>
      <c r="G65" s="2">
        <v>35</v>
      </c>
      <c r="H65" s="2">
        <v>36</v>
      </c>
      <c r="I65" s="77"/>
      <c r="J65" s="78"/>
      <c r="K65" s="78">
        <v>100</v>
      </c>
      <c r="L65" s="78"/>
      <c r="M65" s="78">
        <v>50</v>
      </c>
      <c r="N65" s="78"/>
      <c r="O65" s="108"/>
      <c r="P65" s="108"/>
      <c r="Q65" s="108"/>
      <c r="R65" s="108"/>
      <c r="S65" s="108"/>
      <c r="T65" s="108"/>
      <c r="U65" s="109">
        <v>-12</v>
      </c>
      <c r="V65" s="2">
        <f t="shared" si="35"/>
        <v>239</v>
      </c>
      <c r="W65" s="10"/>
      <c r="X65" s="13">
        <f t="shared" si="36"/>
        <v>-116</v>
      </c>
      <c r="Y65" s="10"/>
      <c r="Z65" s="14">
        <f t="shared" si="37"/>
        <v>76</v>
      </c>
      <c r="AA65" s="14">
        <f t="shared" si="48"/>
        <v>167</v>
      </c>
      <c r="AB65" s="2">
        <f t="shared" si="38"/>
        <v>243</v>
      </c>
      <c r="AC65" s="2">
        <f t="shared" si="39"/>
        <v>359</v>
      </c>
      <c r="AE65" s="9" t="s">
        <v>39</v>
      </c>
      <c r="AF65" s="314"/>
      <c r="AG65" s="99">
        <f>ROUND(Load!$E$43+'2022'!$E$70*0.485/672,0)</f>
        <v>123</v>
      </c>
      <c r="AH65" s="2">
        <f t="shared" si="40"/>
        <v>123</v>
      </c>
      <c r="AI65" s="9" t="s">
        <v>39</v>
      </c>
      <c r="AJ65" s="2">
        <f>'Hoover with 30 MW Solar'!$C$39</f>
        <v>30</v>
      </c>
      <c r="AK65" s="2">
        <v>35</v>
      </c>
      <c r="AL65" s="314">
        <v>36</v>
      </c>
      <c r="AM65" s="77"/>
      <c r="AN65" s="78"/>
      <c r="AO65" s="78">
        <v>100</v>
      </c>
      <c r="AP65" s="78">
        <v>50</v>
      </c>
      <c r="AQ65" s="78">
        <v>75</v>
      </c>
      <c r="AR65" s="78"/>
      <c r="AS65" s="108"/>
      <c r="AT65" s="108"/>
      <c r="AU65" s="108"/>
      <c r="AV65" s="108"/>
      <c r="AW65" s="108"/>
      <c r="AX65" s="108"/>
      <c r="AY65" s="109">
        <v>-12</v>
      </c>
      <c r="AZ65" s="2">
        <f t="shared" si="41"/>
        <v>314</v>
      </c>
      <c r="BA65" s="10"/>
      <c r="BB65" s="13">
        <f t="shared" si="42"/>
        <v>-191</v>
      </c>
      <c r="BC65" s="10"/>
      <c r="BD65" s="14">
        <f t="shared" si="43"/>
        <v>76</v>
      </c>
      <c r="BE65" s="14">
        <f t="shared" si="47"/>
        <v>167</v>
      </c>
      <c r="BF65" s="2">
        <f t="shared" si="44"/>
        <v>243</v>
      </c>
      <c r="BG65" s="2">
        <f t="shared" si="45"/>
        <v>434</v>
      </c>
    </row>
    <row r="66" spans="1:59" x14ac:dyDescent="0.3">
      <c r="A66" s="9" t="s">
        <v>40</v>
      </c>
      <c r="B66" s="314"/>
      <c r="C66" s="99">
        <f>ROUND(Load!$E$43+'2022'!$E$70*0.485/672,0)</f>
        <v>123</v>
      </c>
      <c r="D66" s="2">
        <f t="shared" si="34"/>
        <v>123</v>
      </c>
      <c r="E66" s="9" t="s">
        <v>40</v>
      </c>
      <c r="F66" s="2">
        <f>'Hoover with 30 MW Solar'!$C$39</f>
        <v>30</v>
      </c>
      <c r="G66" s="2">
        <v>35</v>
      </c>
      <c r="H66" s="2">
        <v>36</v>
      </c>
      <c r="I66" s="77"/>
      <c r="J66" s="78"/>
      <c r="K66" s="78">
        <v>100</v>
      </c>
      <c r="L66" s="78"/>
      <c r="M66" s="78">
        <v>50</v>
      </c>
      <c r="N66" s="78"/>
      <c r="O66" s="108"/>
      <c r="P66" s="108"/>
      <c r="Q66" s="108"/>
      <c r="R66" s="108"/>
      <c r="S66" s="108"/>
      <c r="T66" s="108"/>
      <c r="U66" s="109">
        <v>-12</v>
      </c>
      <c r="V66" s="2">
        <f t="shared" si="35"/>
        <v>239</v>
      </c>
      <c r="W66" s="10"/>
      <c r="X66" s="13">
        <f t="shared" si="36"/>
        <v>-116</v>
      </c>
      <c r="Y66" s="10"/>
      <c r="Z66" s="14">
        <f t="shared" si="37"/>
        <v>76</v>
      </c>
      <c r="AA66" s="14">
        <f t="shared" si="48"/>
        <v>167</v>
      </c>
      <c r="AB66" s="2">
        <f t="shared" si="38"/>
        <v>243</v>
      </c>
      <c r="AC66" s="2">
        <f t="shared" si="39"/>
        <v>359</v>
      </c>
      <c r="AE66" s="9" t="s">
        <v>40</v>
      </c>
      <c r="AF66" s="314"/>
      <c r="AG66" s="99">
        <f>ROUND(Load!$E$43+'2022'!$E$70*0.485/672,0)</f>
        <v>123</v>
      </c>
      <c r="AH66" s="2">
        <f t="shared" si="40"/>
        <v>123</v>
      </c>
      <c r="AI66" s="9" t="s">
        <v>40</v>
      </c>
      <c r="AJ66" s="2">
        <f>'Hoover with 30 MW Solar'!$C$39</f>
        <v>30</v>
      </c>
      <c r="AK66" s="2">
        <v>35</v>
      </c>
      <c r="AL66" s="314">
        <v>36</v>
      </c>
      <c r="AM66" s="77"/>
      <c r="AN66" s="78"/>
      <c r="AO66" s="78">
        <v>100</v>
      </c>
      <c r="AP66" s="78">
        <v>50</v>
      </c>
      <c r="AQ66" s="78">
        <v>75</v>
      </c>
      <c r="AR66" s="78"/>
      <c r="AS66" s="108"/>
      <c r="AT66" s="108"/>
      <c r="AU66" s="108"/>
      <c r="AV66" s="108"/>
      <c r="AW66" s="108"/>
      <c r="AX66" s="108"/>
      <c r="AY66" s="109">
        <v>-12</v>
      </c>
      <c r="AZ66" s="2">
        <f t="shared" si="41"/>
        <v>314</v>
      </c>
      <c r="BA66" s="10"/>
      <c r="BB66" s="13">
        <f t="shared" si="42"/>
        <v>-191</v>
      </c>
      <c r="BC66" s="10"/>
      <c r="BD66" s="14">
        <f t="shared" si="43"/>
        <v>76</v>
      </c>
      <c r="BE66" s="14">
        <f t="shared" si="47"/>
        <v>167</v>
      </c>
      <c r="BF66" s="2">
        <f t="shared" si="44"/>
        <v>243</v>
      </c>
      <c r="BG66" s="2">
        <f t="shared" si="45"/>
        <v>434</v>
      </c>
    </row>
    <row r="67" spans="1:59" x14ac:dyDescent="0.3">
      <c r="A67" s="9" t="s">
        <v>41</v>
      </c>
      <c r="B67" s="314">
        <v>146</v>
      </c>
      <c r="C67" s="99">
        <f>ROUND(Load!$E$43+'2022'!$E$70*0.485/672,0)</f>
        <v>123</v>
      </c>
      <c r="D67" s="2">
        <f t="shared" si="34"/>
        <v>269</v>
      </c>
      <c r="E67" s="9" t="s">
        <v>41</v>
      </c>
      <c r="F67" s="2"/>
      <c r="G67" s="2">
        <v>35</v>
      </c>
      <c r="H67" s="2"/>
      <c r="I67" s="77">
        <v>25</v>
      </c>
      <c r="J67" s="78">
        <v>100</v>
      </c>
      <c r="K67" s="78"/>
      <c r="L67" s="78">
        <v>50</v>
      </c>
      <c r="M67" s="78"/>
      <c r="N67" s="78">
        <v>75</v>
      </c>
      <c r="O67" s="108"/>
      <c r="P67" s="108"/>
      <c r="Q67" s="108"/>
      <c r="R67" s="108"/>
      <c r="S67" s="108"/>
      <c r="T67" s="108"/>
      <c r="U67" s="109"/>
      <c r="V67" s="2">
        <f t="shared" si="35"/>
        <v>285</v>
      </c>
      <c r="W67" s="10"/>
      <c r="X67" s="11">
        <f t="shared" si="36"/>
        <v>-16</v>
      </c>
      <c r="Y67" s="10"/>
      <c r="Z67" s="12">
        <f t="shared" si="37"/>
        <v>142</v>
      </c>
      <c r="AA67" s="12">
        <f t="shared" ref="AA67:AA68" si="49">292-I67-L67-M67-N67</f>
        <v>142</v>
      </c>
      <c r="AB67" s="2">
        <f t="shared" si="38"/>
        <v>284</v>
      </c>
      <c r="AC67" s="2">
        <f t="shared" si="39"/>
        <v>300</v>
      </c>
      <c r="AE67" s="9" t="s">
        <v>41</v>
      </c>
      <c r="AF67" s="314">
        <v>146</v>
      </c>
      <c r="AG67" s="99">
        <f>ROUND(Load!$E$43+'2022'!$E$70*0.485/672,0)</f>
        <v>123</v>
      </c>
      <c r="AH67" s="2">
        <f t="shared" si="40"/>
        <v>269</v>
      </c>
      <c r="AI67" s="9" t="s">
        <v>41</v>
      </c>
      <c r="AJ67" s="2"/>
      <c r="AK67" s="2">
        <v>35</v>
      </c>
      <c r="AL67" s="314"/>
      <c r="AM67" s="77">
        <v>25</v>
      </c>
      <c r="AN67" s="78">
        <v>100</v>
      </c>
      <c r="AO67" s="78"/>
      <c r="AP67" s="78">
        <v>50</v>
      </c>
      <c r="AQ67" s="78">
        <v>75</v>
      </c>
      <c r="AR67" s="78"/>
      <c r="AS67" s="108"/>
      <c r="AT67" s="108"/>
      <c r="AU67" s="108"/>
      <c r="AV67" s="108"/>
      <c r="AW67" s="108"/>
      <c r="AX67" s="108"/>
      <c r="AY67" s="109"/>
      <c r="AZ67" s="2">
        <f t="shared" si="41"/>
        <v>285</v>
      </c>
      <c r="BA67" s="10"/>
      <c r="BB67" s="11">
        <f t="shared" si="42"/>
        <v>-16</v>
      </c>
      <c r="BC67" s="10"/>
      <c r="BD67" s="12">
        <f t="shared" si="43"/>
        <v>142</v>
      </c>
      <c r="BE67" s="12">
        <f t="shared" si="47"/>
        <v>142</v>
      </c>
      <c r="BF67" s="2">
        <f t="shared" si="44"/>
        <v>284</v>
      </c>
      <c r="BG67" s="2">
        <f t="shared" si="45"/>
        <v>300</v>
      </c>
    </row>
    <row r="68" spans="1:59" ht="15" thickBot="1" x14ac:dyDescent="0.35">
      <c r="A68" s="15" t="s">
        <v>42</v>
      </c>
      <c r="B68" s="16">
        <v>146</v>
      </c>
      <c r="C68" s="123">
        <f>ROUND(Load!$E$43+'2022'!$E$70*0.485/672,0)</f>
        <v>123</v>
      </c>
      <c r="D68" s="16">
        <f t="shared" si="34"/>
        <v>269</v>
      </c>
      <c r="E68" s="15" t="s">
        <v>42</v>
      </c>
      <c r="F68" s="16"/>
      <c r="G68" s="16">
        <v>35</v>
      </c>
      <c r="H68" s="16"/>
      <c r="I68" s="75">
        <v>25</v>
      </c>
      <c r="J68" s="76">
        <v>100</v>
      </c>
      <c r="K68" s="76"/>
      <c r="L68" s="76">
        <v>50</v>
      </c>
      <c r="M68" s="76"/>
      <c r="N68" s="76">
        <v>75</v>
      </c>
      <c r="O68" s="106"/>
      <c r="P68" s="106"/>
      <c r="Q68" s="106"/>
      <c r="R68" s="106"/>
      <c r="S68" s="106"/>
      <c r="T68" s="106"/>
      <c r="U68" s="107"/>
      <c r="V68" s="16">
        <f t="shared" si="35"/>
        <v>285</v>
      </c>
      <c r="W68" s="10"/>
      <c r="X68" s="17">
        <f t="shared" si="36"/>
        <v>-16</v>
      </c>
      <c r="Y68" s="10"/>
      <c r="Z68" s="18">
        <f t="shared" si="37"/>
        <v>142</v>
      </c>
      <c r="AA68" s="18">
        <f t="shared" si="49"/>
        <v>142</v>
      </c>
      <c r="AB68" s="16">
        <f t="shared" si="38"/>
        <v>284</v>
      </c>
      <c r="AC68" s="16">
        <f t="shared" si="39"/>
        <v>300</v>
      </c>
      <c r="AE68" s="15" t="s">
        <v>42</v>
      </c>
      <c r="AF68" s="16">
        <v>146</v>
      </c>
      <c r="AG68" s="123">
        <f>ROUND(Load!$E$43+'2022'!$E$70*0.485/672,0)</f>
        <v>123</v>
      </c>
      <c r="AH68" s="16">
        <f t="shared" si="40"/>
        <v>269</v>
      </c>
      <c r="AI68" s="15" t="s">
        <v>42</v>
      </c>
      <c r="AJ68" s="16"/>
      <c r="AK68" s="16">
        <v>35</v>
      </c>
      <c r="AL68" s="16"/>
      <c r="AM68" s="75">
        <v>25</v>
      </c>
      <c r="AN68" s="76">
        <v>100</v>
      </c>
      <c r="AO68" s="76"/>
      <c r="AP68" s="76">
        <v>50</v>
      </c>
      <c r="AQ68" s="76">
        <v>75</v>
      </c>
      <c r="AR68" s="76"/>
      <c r="AS68" s="106"/>
      <c r="AT68" s="106"/>
      <c r="AU68" s="106"/>
      <c r="AV68" s="106"/>
      <c r="AW68" s="106"/>
      <c r="AX68" s="106"/>
      <c r="AY68" s="107"/>
      <c r="AZ68" s="16">
        <f t="shared" si="41"/>
        <v>285</v>
      </c>
      <c r="BA68" s="10"/>
      <c r="BB68" s="17">
        <f t="shared" si="42"/>
        <v>-16</v>
      </c>
      <c r="BC68" s="10"/>
      <c r="BD68" s="18">
        <f t="shared" si="43"/>
        <v>142</v>
      </c>
      <c r="BE68" s="18">
        <f t="shared" si="47"/>
        <v>142</v>
      </c>
      <c r="BF68" s="16">
        <f t="shared" si="44"/>
        <v>284</v>
      </c>
      <c r="BG68" s="16">
        <f t="shared" si="45"/>
        <v>300</v>
      </c>
    </row>
    <row r="69" spans="1:59" ht="15" thickTop="1" x14ac:dyDescent="0.3">
      <c r="A69" s="2" t="s">
        <v>43</v>
      </c>
      <c r="B69" s="2">
        <f>SUM(B45:B68)</f>
        <v>3480</v>
      </c>
      <c r="C69" s="2">
        <f t="shared" ref="C69:D69" si="50">SUM(C45:C68)</f>
        <v>2952</v>
      </c>
      <c r="D69" s="2">
        <f t="shared" si="50"/>
        <v>6432</v>
      </c>
      <c r="E69" s="327" t="s">
        <v>406</v>
      </c>
      <c r="F69" s="2">
        <f t="shared" ref="F69:H69" si="51">SUM(F45:F68)</f>
        <v>480</v>
      </c>
      <c r="G69" s="2">
        <f t="shared" si="51"/>
        <v>840</v>
      </c>
      <c r="H69" s="2">
        <f t="shared" si="51"/>
        <v>199</v>
      </c>
      <c r="I69" s="2">
        <f>SUM(I45:I68)</f>
        <v>200</v>
      </c>
      <c r="J69" s="2">
        <f t="shared" ref="J69" si="52">SUM(J45:J68)</f>
        <v>800</v>
      </c>
      <c r="K69" s="2">
        <f>SUM(K45:K68)</f>
        <v>1600</v>
      </c>
      <c r="L69" s="2">
        <f>SUM(L45:L68)</f>
        <v>400</v>
      </c>
      <c r="M69" s="2">
        <f>SUM(M45:M68)</f>
        <v>800</v>
      </c>
      <c r="N69" s="2">
        <f>SUM(N45:N68)</f>
        <v>600</v>
      </c>
      <c r="O69" s="2">
        <f t="shared" ref="O69:P69" si="53">SUM(O45:O68)</f>
        <v>0</v>
      </c>
      <c r="P69" s="2">
        <f t="shared" si="53"/>
        <v>0</v>
      </c>
      <c r="Q69" s="2">
        <f t="shared" ref="Q69" si="54">SUM(Q45:Q68)</f>
        <v>0</v>
      </c>
      <c r="R69" s="2">
        <f t="shared" ref="R69" si="55">SUM(R45:R68)</f>
        <v>0</v>
      </c>
      <c r="S69" s="2">
        <f t="shared" ref="S69" si="56">SUM(S45:S68)</f>
        <v>0</v>
      </c>
      <c r="T69" s="2">
        <f t="shared" ref="T69:U69" si="57">SUM(T45:T68)</f>
        <v>0</v>
      </c>
      <c r="U69" s="2">
        <f t="shared" si="57"/>
        <v>-192</v>
      </c>
      <c r="V69" s="2">
        <f>SUM(V45:V68)</f>
        <v>5727</v>
      </c>
      <c r="W69" s="10"/>
      <c r="X69" s="19">
        <f>SUM(X45:X68)</f>
        <v>705</v>
      </c>
      <c r="Y69" s="10"/>
      <c r="Z69" s="19">
        <f>SUM(Z45:Z68)</f>
        <v>2729</v>
      </c>
      <c r="AA69" s="19">
        <f>SUM(AA45:AA68)</f>
        <v>3808</v>
      </c>
      <c r="AB69" s="19">
        <f>SUM(AB45:AB68)</f>
        <v>6537</v>
      </c>
      <c r="AC69" s="19">
        <f>SUM(AC45:AC68)</f>
        <v>5832</v>
      </c>
      <c r="AE69" s="2" t="s">
        <v>43</v>
      </c>
      <c r="AF69" s="2">
        <f>SUM(AF45:AF68)</f>
        <v>3337</v>
      </c>
      <c r="AG69" s="2">
        <f t="shared" ref="AG69:AH69" si="58">SUM(AG45:AG68)</f>
        <v>2952</v>
      </c>
      <c r="AH69" s="2">
        <f t="shared" si="58"/>
        <v>6289</v>
      </c>
      <c r="AI69" s="92"/>
      <c r="AJ69" s="2">
        <f t="shared" ref="AJ69:AL69" si="59">SUM(AJ45:AJ68)</f>
        <v>480</v>
      </c>
      <c r="AK69" s="2">
        <f t="shared" si="59"/>
        <v>840</v>
      </c>
      <c r="AL69" s="2">
        <f t="shared" si="59"/>
        <v>199</v>
      </c>
      <c r="AM69" s="2">
        <f>SUM(AM45:AM68)</f>
        <v>200</v>
      </c>
      <c r="AN69" s="2">
        <f t="shared" ref="AN69" si="60">SUM(AN45:AN68)</f>
        <v>800</v>
      </c>
      <c r="AO69" s="2">
        <f>SUM(AO45:AO68)</f>
        <v>1600</v>
      </c>
      <c r="AP69" s="2">
        <f>SUM(AP45:AP68)</f>
        <v>1200</v>
      </c>
      <c r="AQ69" s="2">
        <f>SUM(AQ45:AQ68)</f>
        <v>1800</v>
      </c>
      <c r="AR69" s="2">
        <f>SUM(AR45:AR68)</f>
        <v>0</v>
      </c>
      <c r="AS69" s="2">
        <f t="shared" ref="AS69:AY69" si="61">SUM(AS45:AS68)</f>
        <v>0</v>
      </c>
      <c r="AT69" s="2">
        <f t="shared" si="61"/>
        <v>0</v>
      </c>
      <c r="AU69" s="2">
        <f t="shared" si="61"/>
        <v>0</v>
      </c>
      <c r="AV69" s="2">
        <f t="shared" si="61"/>
        <v>0</v>
      </c>
      <c r="AW69" s="2">
        <f t="shared" si="61"/>
        <v>0</v>
      </c>
      <c r="AX69" s="2">
        <f t="shared" si="61"/>
        <v>0</v>
      </c>
      <c r="AY69" s="2">
        <f t="shared" si="61"/>
        <v>-192</v>
      </c>
      <c r="AZ69" s="2">
        <f>SUM(AZ45:AZ68)</f>
        <v>6927</v>
      </c>
      <c r="BA69" s="10"/>
      <c r="BB69" s="19">
        <f>SUM(BB45:BB68)</f>
        <v>-638</v>
      </c>
      <c r="BC69" s="10"/>
      <c r="BD69" s="19">
        <f>SUM(BD45:BD68)</f>
        <v>2729</v>
      </c>
      <c r="BE69" s="19">
        <f>SUM(BE45:BE68)</f>
        <v>3808</v>
      </c>
      <c r="BF69" s="19">
        <f>SUM(BF45:BF68)</f>
        <v>6537</v>
      </c>
      <c r="BG69" s="19">
        <f>SUM(BG45:BG68)</f>
        <v>7175</v>
      </c>
    </row>
    <row r="70" spans="1:59" x14ac:dyDescent="0.3">
      <c r="A70" s="2" t="s">
        <v>44</v>
      </c>
      <c r="B70" s="2">
        <f t="shared" ref="B70:D70" si="62">B69*(28-$AN42)</f>
        <v>83520</v>
      </c>
      <c r="C70" s="2">
        <f t="shared" si="62"/>
        <v>70848</v>
      </c>
      <c r="D70" s="2">
        <f t="shared" si="62"/>
        <v>154368</v>
      </c>
      <c r="E70" s="328">
        <f>B70+AF70</f>
        <v>96868</v>
      </c>
      <c r="H70" s="124">
        <f>'Hoover with 30 MW Solar'!C44</f>
        <v>199.49366225000009</v>
      </c>
      <c r="I70" s="479" t="s">
        <v>470</v>
      </c>
      <c r="J70" s="2"/>
      <c r="L70" s="2"/>
      <c r="M70" s="2"/>
      <c r="U70" s="92"/>
      <c r="V70" s="2">
        <f>V69*(28-$AN42)</f>
        <v>137448</v>
      </c>
      <c r="W70" s="35" t="s">
        <v>153</v>
      </c>
      <c r="X70" s="87">
        <f>-SUMIF(X45:X68,"&lt;0")</f>
        <v>967</v>
      </c>
      <c r="Y70" s="92">
        <f>X70*(31-AN42)</f>
        <v>26109</v>
      </c>
      <c r="Z70" s="92" t="s">
        <v>217</v>
      </c>
      <c r="AE70" s="2" t="s">
        <v>44</v>
      </c>
      <c r="AF70" s="2">
        <f>AF69*$AN42</f>
        <v>13348</v>
      </c>
      <c r="AG70" s="2">
        <f t="shared" ref="AG70:AH70" si="63">AG69*$AN42</f>
        <v>11808</v>
      </c>
      <c r="AH70" s="2">
        <f t="shared" si="63"/>
        <v>25156</v>
      </c>
      <c r="AI70" s="92"/>
      <c r="AJ70" s="92"/>
      <c r="AK70" s="92"/>
      <c r="AL70" s="124">
        <f>H70</f>
        <v>199.49366225000009</v>
      </c>
      <c r="AM70" s="2"/>
      <c r="AN70" s="2"/>
      <c r="AO70" s="92"/>
      <c r="AP70" s="2"/>
      <c r="AQ70" s="2"/>
      <c r="AR70" s="92"/>
      <c r="AS70" s="92"/>
      <c r="AT70" s="92"/>
      <c r="AU70" s="92"/>
      <c r="AV70" s="92"/>
      <c r="AW70" s="92"/>
      <c r="AX70" s="92"/>
      <c r="AY70" s="92"/>
      <c r="AZ70" s="2"/>
      <c r="BA70" s="35" t="s">
        <v>216</v>
      </c>
      <c r="BB70" s="87">
        <f>-SUMIF(BB45:BB68,"&lt;0")</f>
        <v>1576</v>
      </c>
      <c r="BC70" s="92">
        <f>BB70*AN42</f>
        <v>6304</v>
      </c>
      <c r="BD70" s="92" t="s">
        <v>217</v>
      </c>
      <c r="BE70" s="92"/>
      <c r="BF70" s="92"/>
      <c r="BG70" s="92"/>
    </row>
    <row r="71" spans="1:59" x14ac:dyDescent="0.3">
      <c r="A71" s="2" t="s">
        <v>45</v>
      </c>
      <c r="B71" s="20">
        <f>ROUND(B69/48.35,0)</f>
        <v>72</v>
      </c>
      <c r="C71" s="294">
        <f>((B71*(28-AN42)+AF71*AN42)/28)</f>
        <v>71.571428571428569</v>
      </c>
      <c r="D71" s="294">
        <f>C71-Load!E35</f>
        <v>7.7755505364201056</v>
      </c>
      <c r="F71" s="21">
        <v>24.99</v>
      </c>
      <c r="G71" s="62">
        <f>D486</f>
        <v>57.037500000000001</v>
      </c>
      <c r="H71" s="98">
        <f>$F$479</f>
        <v>43.87</v>
      </c>
      <c r="I71" s="21">
        <v>28</v>
      </c>
      <c r="J71" s="21">
        <v>31.59</v>
      </c>
      <c r="K71" s="21">
        <v>33.229999999999997</v>
      </c>
      <c r="L71" s="21">
        <v>23.4</v>
      </c>
      <c r="M71" s="21">
        <v>27.5</v>
      </c>
      <c r="N71" s="21">
        <v>26.73</v>
      </c>
      <c r="O71" s="313"/>
      <c r="P71" s="313"/>
      <c r="Q71" s="313"/>
      <c r="R71" s="313"/>
      <c r="S71" s="313"/>
      <c r="T71" s="313"/>
      <c r="U71" s="21"/>
      <c r="X71" s="11">
        <f>SUM(X67:X68,X45:X50)</f>
        <v>-128</v>
      </c>
      <c r="Y71" s="92">
        <f>Y70+BC70</f>
        <v>32413</v>
      </c>
      <c r="Z71" s="92" t="s">
        <v>236</v>
      </c>
      <c r="AA71" s="92"/>
      <c r="AE71" s="2" t="s">
        <v>45</v>
      </c>
      <c r="AF71" s="20">
        <f>ROUND(AF69/48.35,0)</f>
        <v>69</v>
      </c>
      <c r="AG71" s="92"/>
      <c r="AH71" s="92"/>
      <c r="AI71" s="92"/>
      <c r="AJ71" s="21">
        <f>F71</f>
        <v>24.99</v>
      </c>
      <c r="AK71" s="21">
        <f t="shared" ref="AK71:AL71" si="64">G71</f>
        <v>57.037500000000001</v>
      </c>
      <c r="AL71" s="21">
        <f t="shared" si="64"/>
        <v>43.87</v>
      </c>
      <c r="AM71" s="21">
        <v>28</v>
      </c>
      <c r="AN71" s="21">
        <v>31.59</v>
      </c>
      <c r="AO71" s="21">
        <v>33.229999999999997</v>
      </c>
      <c r="AP71" s="21">
        <v>23.4</v>
      </c>
      <c r="AQ71" s="21">
        <v>26.73</v>
      </c>
      <c r="AR71" s="21"/>
      <c r="AS71" s="313"/>
      <c r="AT71" s="313"/>
      <c r="AU71" s="313"/>
      <c r="AV71" s="313"/>
      <c r="AW71" s="313"/>
      <c r="AX71" s="313"/>
      <c r="AY71" s="21">
        <v>33.229999999999997</v>
      </c>
      <c r="AZ71" s="92"/>
      <c r="BA71" s="92"/>
      <c r="BB71" s="11">
        <f>SUM(BB67:BB68,BB45:BB50)</f>
        <v>-128</v>
      </c>
      <c r="BC71" s="92"/>
      <c r="BD71" s="92"/>
      <c r="BE71" s="92"/>
      <c r="BF71" s="92"/>
      <c r="BG71" s="92"/>
    </row>
    <row r="72" spans="1:59" x14ac:dyDescent="0.3">
      <c r="A72" s="2" t="s">
        <v>62</v>
      </c>
      <c r="B72" s="2">
        <f>SUM(B51:B66)</f>
        <v>2312</v>
      </c>
      <c r="C72" s="2">
        <f>SUM(C51:C66)</f>
        <v>1968</v>
      </c>
      <c r="F72" s="99">
        <f>'Hoover with 30 MW Solar'!C30</f>
        <v>5951.8225430000002</v>
      </c>
      <c r="G72" s="2">
        <f t="shared" ref="G72" si="65">G69*28</f>
        <v>23520</v>
      </c>
      <c r="H72" s="22">
        <f>'Hoover with 30 MW Solar'!C31</f>
        <v>7698</v>
      </c>
      <c r="I72" s="2">
        <f>I69*(28-$AN42)</f>
        <v>4800</v>
      </c>
      <c r="J72" s="2">
        <f t="shared" ref="J72:K72" si="66">J69*(28-$AN42)</f>
        <v>19200</v>
      </c>
      <c r="K72" s="2">
        <f t="shared" si="66"/>
        <v>38400</v>
      </c>
      <c r="L72" s="2">
        <f t="shared" ref="L72:M72" si="67">L69*(28-$AN42)</f>
        <v>9600</v>
      </c>
      <c r="M72" s="2">
        <f t="shared" si="67"/>
        <v>19200</v>
      </c>
      <c r="N72" s="2">
        <f t="shared" ref="N72:T72" si="68">N69*(28-$AN42)</f>
        <v>14400</v>
      </c>
      <c r="O72" s="2">
        <f t="shared" si="68"/>
        <v>0</v>
      </c>
      <c r="P72" s="2">
        <f t="shared" si="68"/>
        <v>0</v>
      </c>
      <c r="Q72" s="2">
        <f t="shared" si="68"/>
        <v>0</v>
      </c>
      <c r="R72" s="2">
        <f t="shared" si="68"/>
        <v>0</v>
      </c>
      <c r="S72" s="2">
        <f t="shared" si="68"/>
        <v>0</v>
      </c>
      <c r="T72" s="2">
        <f t="shared" si="68"/>
        <v>0</v>
      </c>
      <c r="U72" s="22">
        <f>U69*(28-$AN42)</f>
        <v>-4608</v>
      </c>
      <c r="X72" s="13">
        <f>SUM(X51:X66)</f>
        <v>833</v>
      </c>
      <c r="AE72" s="2" t="s">
        <v>62</v>
      </c>
      <c r="AF72" s="2">
        <f>SUM(AF51:AF66)</f>
        <v>2169</v>
      </c>
      <c r="AG72" s="2">
        <f>SUM(AG51:AG66)</f>
        <v>1968</v>
      </c>
      <c r="AH72" s="92"/>
      <c r="AI72" s="92"/>
      <c r="AJ72" s="2"/>
      <c r="AK72" s="2"/>
      <c r="AL72" s="2"/>
      <c r="AM72" s="22">
        <f>AM69*$AN42</f>
        <v>800</v>
      </c>
      <c r="AN72" s="22">
        <f t="shared" ref="AN72:AY72" si="69">AN69*$AN42</f>
        <v>3200</v>
      </c>
      <c r="AO72" s="22">
        <f t="shared" si="69"/>
        <v>6400</v>
      </c>
      <c r="AP72" s="22">
        <f t="shared" si="69"/>
        <v>4800</v>
      </c>
      <c r="AQ72" s="22">
        <f t="shared" si="69"/>
        <v>7200</v>
      </c>
      <c r="AR72" s="22">
        <f t="shared" si="69"/>
        <v>0</v>
      </c>
      <c r="AS72" s="22">
        <f t="shared" si="69"/>
        <v>0</v>
      </c>
      <c r="AT72" s="22">
        <f t="shared" si="69"/>
        <v>0</v>
      </c>
      <c r="AU72" s="22">
        <f t="shared" si="69"/>
        <v>0</v>
      </c>
      <c r="AV72" s="22">
        <f t="shared" si="69"/>
        <v>0</v>
      </c>
      <c r="AW72" s="22">
        <f t="shared" si="69"/>
        <v>0</v>
      </c>
      <c r="AX72" s="22">
        <f t="shared" si="69"/>
        <v>0</v>
      </c>
      <c r="AY72" s="22">
        <f t="shared" si="69"/>
        <v>-768</v>
      </c>
      <c r="AZ72" s="92"/>
      <c r="BA72" s="92"/>
      <c r="BB72" s="13">
        <f>SUM(BB51:BB66)</f>
        <v>-510</v>
      </c>
      <c r="BC72" s="92"/>
      <c r="BD72" s="92"/>
      <c r="BE72" s="92"/>
      <c r="BF72" s="92"/>
      <c r="BG72" s="92"/>
    </row>
    <row r="73" spans="1:59" x14ac:dyDescent="0.3">
      <c r="A73" s="2" t="s">
        <v>63</v>
      </c>
      <c r="B73" s="2">
        <f>SUM(B67:B68,B45:B50)</f>
        <v>1168</v>
      </c>
      <c r="C73" s="2">
        <f>SUM(C67:C68,C45:C50)</f>
        <v>984</v>
      </c>
      <c r="D73" s="24"/>
      <c r="E73" s="24"/>
      <c r="F73" s="25">
        <f t="shared" ref="F73:H73" si="70">F72*F71</f>
        <v>148736.04534956999</v>
      </c>
      <c r="G73" s="25">
        <f t="shared" si="70"/>
        <v>1341522</v>
      </c>
      <c r="H73" s="25">
        <f t="shared" si="70"/>
        <v>337711.26</v>
      </c>
      <c r="I73" s="25">
        <f>I72*I71</f>
        <v>134400</v>
      </c>
      <c r="J73" s="25">
        <f t="shared" ref="J73:K73" si="71">J72*J71</f>
        <v>606528</v>
      </c>
      <c r="K73" s="25">
        <f t="shared" si="71"/>
        <v>1276031.9999999998</v>
      </c>
      <c r="L73" s="25">
        <f t="shared" ref="L73:M73" si="72">L72*L71</f>
        <v>224640</v>
      </c>
      <c r="M73" s="25">
        <f t="shared" si="72"/>
        <v>528000</v>
      </c>
      <c r="N73" s="25">
        <f t="shared" ref="N73:U73" si="73">N72*N71</f>
        <v>384912</v>
      </c>
      <c r="O73" s="25">
        <f t="shared" si="73"/>
        <v>0</v>
      </c>
      <c r="P73" s="25">
        <f t="shared" si="73"/>
        <v>0</v>
      </c>
      <c r="Q73" s="25">
        <f t="shared" si="73"/>
        <v>0</v>
      </c>
      <c r="R73" s="25">
        <f t="shared" si="73"/>
        <v>0</v>
      </c>
      <c r="S73" s="25">
        <f t="shared" si="73"/>
        <v>0</v>
      </c>
      <c r="T73" s="25">
        <f t="shared" si="73"/>
        <v>0</v>
      </c>
      <c r="U73" s="25">
        <f t="shared" si="73"/>
        <v>0</v>
      </c>
      <c r="V73" s="24"/>
      <c r="W73" s="24"/>
      <c r="X73" s="24"/>
      <c r="Y73" s="24"/>
      <c r="Z73" s="24"/>
      <c r="AA73" s="24"/>
      <c r="AB73" s="24"/>
      <c r="AC73" s="24"/>
      <c r="AE73" s="2" t="s">
        <v>63</v>
      </c>
      <c r="AF73" s="2">
        <f>SUM(AF67:AF68,AF45:AF50)</f>
        <v>1168</v>
      </c>
      <c r="AG73" s="2">
        <f>SUM(AG67:AG68,AG45:AG50)</f>
        <v>984</v>
      </c>
      <c r="AH73" s="24"/>
      <c r="AI73" s="24"/>
      <c r="AJ73" s="25"/>
      <c r="AK73" s="25"/>
      <c r="AL73" s="25"/>
      <c r="AM73" s="25">
        <f>AM72*AM71</f>
        <v>22400</v>
      </c>
      <c r="AN73" s="25">
        <f t="shared" ref="AN73:AY73" si="74">AN72*AN71</f>
        <v>101088</v>
      </c>
      <c r="AO73" s="25">
        <f t="shared" si="74"/>
        <v>212671.99999999997</v>
      </c>
      <c r="AP73" s="25">
        <f t="shared" si="74"/>
        <v>112320</v>
      </c>
      <c r="AQ73" s="25">
        <f t="shared" si="74"/>
        <v>192456</v>
      </c>
      <c r="AR73" s="25">
        <f t="shared" si="74"/>
        <v>0</v>
      </c>
      <c r="AS73" s="25">
        <f t="shared" si="74"/>
        <v>0</v>
      </c>
      <c r="AT73" s="25">
        <f t="shared" si="74"/>
        <v>0</v>
      </c>
      <c r="AU73" s="25">
        <f t="shared" si="74"/>
        <v>0</v>
      </c>
      <c r="AV73" s="25">
        <f t="shared" si="74"/>
        <v>0</v>
      </c>
      <c r="AW73" s="25">
        <f t="shared" si="74"/>
        <v>0</v>
      </c>
      <c r="AX73" s="25">
        <f t="shared" si="74"/>
        <v>0</v>
      </c>
      <c r="AY73" s="25">
        <f t="shared" si="74"/>
        <v>-25520.639999999999</v>
      </c>
      <c r="AZ73" s="24"/>
      <c r="BA73" s="24"/>
      <c r="BB73" s="24"/>
      <c r="BC73" s="24"/>
      <c r="BD73" s="24"/>
      <c r="BE73" s="24"/>
      <c r="BF73" s="24"/>
      <c r="BG73" s="24"/>
    </row>
    <row r="74" spans="1:59" x14ac:dyDescent="0.3">
      <c r="A74" s="23"/>
      <c r="B74" s="23"/>
      <c r="C74" s="35" t="s">
        <v>221</v>
      </c>
      <c r="D74" s="117">
        <f>'2022 Transaction Totals'!S26</f>
        <v>179537.82254299999</v>
      </c>
      <c r="E74" s="23"/>
      <c r="F74" s="23"/>
      <c r="G74" s="23"/>
      <c r="H74" s="23"/>
      <c r="I74" s="116" t="s">
        <v>222</v>
      </c>
      <c r="J74" s="25">
        <f>SUM(F73:T73)+SUM(AM73:AX73)</f>
        <v>5623417.3053495698</v>
      </c>
      <c r="K74" s="23"/>
      <c r="L74" s="92"/>
      <c r="M74" s="92"/>
      <c r="W74" s="23"/>
      <c r="X74" s="11">
        <f>X71*(28-AN42)</f>
        <v>-3072</v>
      </c>
      <c r="Y74" s="23"/>
      <c r="Z74" s="23"/>
      <c r="AA74" s="23"/>
      <c r="AB74" s="23"/>
      <c r="AC74" s="23"/>
      <c r="AE74" s="23"/>
      <c r="AF74" s="23"/>
      <c r="AG74" s="23"/>
      <c r="AH74" s="23"/>
      <c r="AI74" s="23"/>
      <c r="AJ74" s="23"/>
      <c r="AK74" s="23"/>
      <c r="AL74" s="23"/>
      <c r="AM74" s="23"/>
      <c r="AN74" s="25"/>
      <c r="AO74" s="23"/>
      <c r="AP74" s="92"/>
      <c r="AQ74" s="92"/>
      <c r="AR74" s="92"/>
      <c r="AS74" s="92"/>
      <c r="AT74" s="92"/>
      <c r="AU74" s="92"/>
      <c r="AV74" s="92"/>
      <c r="AW74" s="92"/>
      <c r="AX74" s="92"/>
      <c r="AY74" s="92"/>
      <c r="AZ74" s="92"/>
      <c r="BA74" s="23"/>
      <c r="BB74" s="11">
        <f>BB71*AN42</f>
        <v>-512</v>
      </c>
      <c r="BC74" s="23"/>
      <c r="BD74" s="23"/>
      <c r="BE74" s="23"/>
      <c r="BF74" s="23"/>
      <c r="BG74" s="23"/>
    </row>
    <row r="75" spans="1:59" x14ac:dyDescent="0.3">
      <c r="C75" s="35" t="s">
        <v>131</v>
      </c>
      <c r="D75" s="36">
        <f>D74-Load!S9</f>
        <v>14174.974883560732</v>
      </c>
      <c r="I75" s="23" t="s">
        <v>190</v>
      </c>
      <c r="J75" s="22">
        <f>SUM(F72:T72)+SUM(AM72:AX72)</f>
        <v>165169.82254299999</v>
      </c>
      <c r="K75" s="39">
        <f>J75/D74</f>
        <v>0.91997229443640594</v>
      </c>
      <c r="L75" s="92" t="s">
        <v>223</v>
      </c>
      <c r="M75" s="92"/>
      <c r="X75" s="13">
        <f>X72*(28-AN42)</f>
        <v>19992</v>
      </c>
      <c r="Y75" s="57">
        <v>40</v>
      </c>
      <c r="Z75" t="s">
        <v>160</v>
      </c>
      <c r="AE75" s="92"/>
      <c r="AF75" s="92"/>
      <c r="AG75" s="35"/>
      <c r="AH75" s="36"/>
      <c r="AI75" s="92"/>
      <c r="AJ75" s="92"/>
      <c r="AK75" s="92"/>
      <c r="AL75" s="92"/>
      <c r="AM75" s="23"/>
      <c r="AN75" s="2"/>
      <c r="AO75" s="39"/>
      <c r="AP75" s="92"/>
      <c r="AQ75" s="92"/>
      <c r="AR75" s="92"/>
      <c r="AS75" s="92"/>
      <c r="AT75" s="92"/>
      <c r="AU75" s="92"/>
      <c r="AV75" s="92"/>
      <c r="AW75" s="92"/>
      <c r="AX75" s="92"/>
      <c r="AY75" s="92"/>
      <c r="AZ75" s="92"/>
      <c r="BA75" s="92"/>
      <c r="BB75" s="13">
        <f>BB72*AN42</f>
        <v>-2040</v>
      </c>
      <c r="BC75" s="92"/>
      <c r="BD75" s="92"/>
      <c r="BE75" s="92"/>
      <c r="BF75" s="92"/>
      <c r="BG75" s="92"/>
    </row>
    <row r="76" spans="1:59" ht="15" thickBot="1" x14ac:dyDescent="0.35">
      <c r="A76" s="313"/>
      <c r="B76" s="313"/>
      <c r="C76" s="35" t="s">
        <v>383</v>
      </c>
      <c r="D76" s="49">
        <f>C71*28*50.6</f>
        <v>101402.40000000001</v>
      </c>
      <c r="I76" s="23" t="s">
        <v>47</v>
      </c>
      <c r="J76" s="21">
        <f>J74/J75</f>
        <v>34.046275637824699</v>
      </c>
      <c r="L76" s="92"/>
      <c r="M76" s="92" t="s">
        <v>100</v>
      </c>
      <c r="X76" s="37">
        <f>SUM(X74:X75)+Y70+BB76</f>
        <v>46781</v>
      </c>
      <c r="Y76" t="s">
        <v>159</v>
      </c>
      <c r="AE76" s="92"/>
      <c r="AF76" s="92"/>
      <c r="AG76" s="92"/>
      <c r="AH76" s="92"/>
      <c r="AI76" s="92"/>
      <c r="AJ76" s="92"/>
      <c r="AK76" s="92"/>
      <c r="AL76" s="92"/>
      <c r="AM76" s="23"/>
      <c r="AN76" s="21"/>
      <c r="AO76" s="92"/>
      <c r="AP76" s="92"/>
      <c r="AQ76" s="92"/>
      <c r="AR76" s="92"/>
      <c r="AS76" s="92"/>
      <c r="AT76" s="92"/>
      <c r="AU76" s="92"/>
      <c r="AV76" s="92"/>
      <c r="AW76" s="92"/>
      <c r="AX76" s="92"/>
      <c r="AY76" s="92"/>
      <c r="AZ76" s="92"/>
      <c r="BA76" s="92"/>
      <c r="BB76" s="37">
        <f>SUM(BB74:BB75)+BC70</f>
        <v>3752</v>
      </c>
      <c r="BC76" s="92" t="s">
        <v>218</v>
      </c>
      <c r="BD76" s="92"/>
      <c r="BE76" s="92"/>
      <c r="BF76" s="92"/>
      <c r="BG76" s="92"/>
    </row>
    <row r="77" spans="1:59" x14ac:dyDescent="0.3">
      <c r="A77" s="313"/>
      <c r="B77" s="313"/>
      <c r="C77" s="35" t="s">
        <v>384</v>
      </c>
      <c r="D77" s="36">
        <f>D76-Load!E33</f>
        <v>11016.400000000009</v>
      </c>
      <c r="I77" s="67" t="s">
        <v>189</v>
      </c>
      <c r="J77" s="68">
        <f>SUM(I72:T72)+SUM(AM72:AX72)</f>
        <v>128000</v>
      </c>
      <c r="L77" s="92" t="s">
        <v>233</v>
      </c>
      <c r="M77" s="31">
        <f>SUM(I72:N72)+SUM(AM72:AR72)</f>
        <v>128000</v>
      </c>
      <c r="X77" s="93">
        <f>(SUM(X74:X75)+Y70)*Y75+BB78</f>
        <v>1871240</v>
      </c>
      <c r="AE77" s="92"/>
      <c r="AF77" s="92"/>
      <c r="AG77" s="92"/>
      <c r="AH77" s="92"/>
      <c r="AI77" s="92"/>
      <c r="AJ77" s="92"/>
      <c r="AK77" s="92"/>
      <c r="AL77" s="92"/>
      <c r="AM77" s="92"/>
      <c r="AN77" s="92"/>
      <c r="AO77" s="92"/>
      <c r="AP77" s="92"/>
      <c r="AQ77" s="92"/>
      <c r="AR77" s="92"/>
      <c r="AS77" s="92"/>
      <c r="AT77" s="92"/>
      <c r="AU77" s="92"/>
      <c r="AV77" s="92"/>
      <c r="AW77" s="92"/>
      <c r="AX77" s="92"/>
      <c r="AY77" s="92"/>
      <c r="AZ77" s="92"/>
      <c r="BA77" s="92"/>
      <c r="BB77" s="93">
        <f>BB76*BC77</f>
        <v>150080</v>
      </c>
      <c r="BC77" s="93">
        <f>Y75</f>
        <v>40</v>
      </c>
      <c r="BD77" s="92" t="s">
        <v>160</v>
      </c>
      <c r="BE77" s="92"/>
      <c r="BF77" s="92"/>
      <c r="BG77" s="92"/>
    </row>
    <row r="78" spans="1:59" x14ac:dyDescent="0.3">
      <c r="I78" s="69" t="s">
        <v>18</v>
      </c>
      <c r="J78" s="70">
        <f>SUM(I73:T73)+SUM(AM73:AX73)</f>
        <v>3795448</v>
      </c>
      <c r="L78" s="92" t="s">
        <v>235</v>
      </c>
      <c r="M78" s="31">
        <f>SUM(O72:T72)+SUM(AS72:AX72)</f>
        <v>0</v>
      </c>
      <c r="X78" s="79">
        <f>X77+J78</f>
        <v>5666688</v>
      </c>
      <c r="Y78" t="s">
        <v>161</v>
      </c>
      <c r="AE78" s="92"/>
      <c r="AF78" s="92"/>
      <c r="AG78" s="92"/>
      <c r="AH78" s="92"/>
      <c r="AI78" s="92"/>
      <c r="AJ78" s="92"/>
      <c r="AK78" s="92"/>
      <c r="AL78" s="92"/>
      <c r="AM78" s="92"/>
      <c r="AN78" s="92"/>
      <c r="AO78" s="92"/>
      <c r="AP78" s="92"/>
      <c r="AQ78" s="92"/>
      <c r="AR78" s="92"/>
      <c r="AS78" s="92"/>
      <c r="AT78" s="92"/>
      <c r="AU78" s="92"/>
      <c r="AV78" s="92"/>
      <c r="AW78" s="92"/>
      <c r="AX78" s="92"/>
      <c r="AY78" s="92"/>
      <c r="AZ78" s="92"/>
      <c r="BA78" s="92"/>
      <c r="BB78" s="79">
        <f>BB77</f>
        <v>150080</v>
      </c>
      <c r="BC78" s="92" t="s">
        <v>219</v>
      </c>
      <c r="BD78" s="92"/>
      <c r="BE78" s="92"/>
      <c r="BF78" s="92"/>
      <c r="BG78" s="92"/>
    </row>
    <row r="79" spans="1:59" ht="15" thickBot="1" x14ac:dyDescent="0.35">
      <c r="I79" s="71" t="s">
        <v>156</v>
      </c>
      <c r="J79" s="72">
        <f>J78/J77</f>
        <v>29.651937499999999</v>
      </c>
      <c r="W79" s="38" t="s">
        <v>193</v>
      </c>
      <c r="X79" s="80">
        <f>J77+X76</f>
        <v>174781</v>
      </c>
      <c r="Y79" s="79">
        <f>X78/X79</f>
        <v>32.421647661931217</v>
      </c>
    </row>
    <row r="80" spans="1:59" x14ac:dyDescent="0.3">
      <c r="L80" s="23"/>
      <c r="M80" s="21"/>
    </row>
    <row r="81" spans="1:59" x14ac:dyDescent="0.3">
      <c r="AN81" s="115" t="s">
        <v>215</v>
      </c>
    </row>
    <row r="82" spans="1:59" ht="15" thickBot="1" x14ac:dyDescent="0.35">
      <c r="A82" s="2" t="s">
        <v>52</v>
      </c>
      <c r="F82" s="87"/>
      <c r="X82" s="91" t="s">
        <v>0</v>
      </c>
      <c r="Z82" s="481" t="s">
        <v>1</v>
      </c>
      <c r="AA82" s="483"/>
      <c r="AB82" s="482"/>
      <c r="AC82" s="1" t="s">
        <v>75</v>
      </c>
      <c r="AE82" s="2" t="s">
        <v>52</v>
      </c>
      <c r="AF82" s="92"/>
      <c r="AG82" s="92"/>
      <c r="AH82" s="92"/>
      <c r="AI82" s="92"/>
      <c r="AJ82" s="92"/>
      <c r="AK82" s="92"/>
      <c r="AL82" s="92"/>
      <c r="AM82" s="37" t="s">
        <v>214</v>
      </c>
      <c r="AN82" s="322">
        <v>4</v>
      </c>
      <c r="AO82" s="313"/>
      <c r="AP82" s="313"/>
      <c r="AQ82" s="313"/>
      <c r="AR82" s="313"/>
      <c r="AS82" s="313"/>
      <c r="AT82" s="313"/>
      <c r="AU82" s="313"/>
      <c r="AV82" s="313"/>
      <c r="AW82" s="313"/>
      <c r="AX82" s="313"/>
      <c r="AY82" s="313"/>
      <c r="AZ82" s="92"/>
      <c r="BA82" s="92"/>
      <c r="BB82" s="112" t="s">
        <v>0</v>
      </c>
      <c r="BC82" s="92"/>
      <c r="BD82" s="481" t="s">
        <v>1</v>
      </c>
      <c r="BE82" s="483"/>
      <c r="BF82" s="482"/>
      <c r="BG82" s="1" t="s">
        <v>75</v>
      </c>
    </row>
    <row r="83" spans="1:59" x14ac:dyDescent="0.3">
      <c r="F83" s="87" t="s">
        <v>415</v>
      </c>
      <c r="I83" s="73" t="s">
        <v>50</v>
      </c>
      <c r="J83" s="74" t="s">
        <v>2</v>
      </c>
      <c r="K83" s="74" t="s">
        <v>2</v>
      </c>
      <c r="L83" s="74" t="s">
        <v>226</v>
      </c>
      <c r="M83" s="74" t="s">
        <v>226</v>
      </c>
      <c r="N83" s="74" t="s">
        <v>224</v>
      </c>
      <c r="O83" s="104"/>
      <c r="P83" s="104"/>
      <c r="Q83" s="104"/>
      <c r="R83" s="104"/>
      <c r="S83" s="104"/>
      <c r="T83" s="104"/>
      <c r="U83" s="105"/>
      <c r="X83" s="3" t="s">
        <v>4</v>
      </c>
      <c r="Z83" s="3" t="s">
        <v>4</v>
      </c>
      <c r="AA83" s="4" t="s">
        <v>4</v>
      </c>
      <c r="AB83" s="5" t="s">
        <v>4</v>
      </c>
      <c r="AC83" s="5" t="s">
        <v>6</v>
      </c>
      <c r="AE83" s="92"/>
      <c r="AF83" s="92"/>
      <c r="AG83" s="92"/>
      <c r="AH83" s="92"/>
      <c r="AI83" s="92"/>
      <c r="AJ83" s="92"/>
      <c r="AK83" s="92"/>
      <c r="AL83" s="92"/>
      <c r="AM83" s="73" t="s">
        <v>50</v>
      </c>
      <c r="AN83" s="74" t="s">
        <v>2</v>
      </c>
      <c r="AO83" s="74" t="s">
        <v>2</v>
      </c>
      <c r="AP83" s="74" t="s">
        <v>226</v>
      </c>
      <c r="AQ83" s="74" t="s">
        <v>224</v>
      </c>
      <c r="AR83" s="74"/>
      <c r="AS83" s="104"/>
      <c r="AT83" s="104"/>
      <c r="AU83" s="104"/>
      <c r="AV83" s="104"/>
      <c r="AW83" s="104"/>
      <c r="AX83" s="104"/>
      <c r="AY83" s="105"/>
      <c r="AZ83" s="92"/>
      <c r="BA83" s="92"/>
      <c r="BB83" s="3" t="s">
        <v>4</v>
      </c>
      <c r="BC83" s="92"/>
      <c r="BD83" s="3" t="s">
        <v>4</v>
      </c>
      <c r="BE83" s="4" t="s">
        <v>4</v>
      </c>
      <c r="BF83" s="5" t="s">
        <v>4</v>
      </c>
      <c r="BG83" s="5" t="s">
        <v>6</v>
      </c>
    </row>
    <row r="84" spans="1:59" ht="15" thickBot="1" x14ac:dyDescent="0.35">
      <c r="A84" s="2" t="s">
        <v>7</v>
      </c>
      <c r="B84" s="2" t="s">
        <v>8</v>
      </c>
      <c r="C84" s="2" t="s">
        <v>9</v>
      </c>
      <c r="D84" s="2" t="s">
        <v>10</v>
      </c>
      <c r="E84" s="2" t="s">
        <v>7</v>
      </c>
      <c r="F84" s="2" t="s">
        <v>11</v>
      </c>
      <c r="G84" s="2" t="s">
        <v>12</v>
      </c>
      <c r="H84" s="2" t="s">
        <v>13</v>
      </c>
      <c r="I84" s="75" t="s">
        <v>15</v>
      </c>
      <c r="J84" s="76" t="s">
        <v>14</v>
      </c>
      <c r="K84" s="76" t="s">
        <v>14</v>
      </c>
      <c r="L84" s="76" t="s">
        <v>15</v>
      </c>
      <c r="M84" s="76" t="s">
        <v>15</v>
      </c>
      <c r="N84" s="76" t="s">
        <v>15</v>
      </c>
      <c r="O84" s="106"/>
      <c r="P84" s="106"/>
      <c r="Q84" s="106"/>
      <c r="R84" s="106"/>
      <c r="S84" s="106"/>
      <c r="T84" s="106"/>
      <c r="U84" s="107"/>
      <c r="V84" s="2" t="s">
        <v>16</v>
      </c>
      <c r="X84" s="6" t="s">
        <v>17</v>
      </c>
      <c r="Z84" s="6" t="s">
        <v>5</v>
      </c>
      <c r="AA84" s="7" t="s">
        <v>15</v>
      </c>
      <c r="AB84" s="8" t="s">
        <v>18</v>
      </c>
      <c r="AC84" s="8" t="s">
        <v>0</v>
      </c>
      <c r="AE84" s="2" t="s">
        <v>7</v>
      </c>
      <c r="AF84" s="2" t="s">
        <v>8</v>
      </c>
      <c r="AG84" s="2" t="s">
        <v>9</v>
      </c>
      <c r="AH84" s="2" t="s">
        <v>10</v>
      </c>
      <c r="AI84" s="2" t="s">
        <v>7</v>
      </c>
      <c r="AJ84" s="2" t="s">
        <v>11</v>
      </c>
      <c r="AK84" s="2" t="s">
        <v>12</v>
      </c>
      <c r="AL84" s="2" t="s">
        <v>13</v>
      </c>
      <c r="AM84" s="75" t="s">
        <v>15</v>
      </c>
      <c r="AN84" s="76" t="s">
        <v>14</v>
      </c>
      <c r="AO84" s="76" t="s">
        <v>14</v>
      </c>
      <c r="AP84" s="76" t="s">
        <v>15</v>
      </c>
      <c r="AQ84" s="76" t="s">
        <v>15</v>
      </c>
      <c r="AR84" s="76"/>
      <c r="AS84" s="106"/>
      <c r="AT84" s="106"/>
      <c r="AU84" s="106"/>
      <c r="AV84" s="106"/>
      <c r="AW84" s="106"/>
      <c r="AX84" s="106"/>
      <c r="AY84" s="107"/>
      <c r="AZ84" s="2" t="s">
        <v>16</v>
      </c>
      <c r="BA84" s="92"/>
      <c r="BB84" s="6" t="s">
        <v>17</v>
      </c>
      <c r="BC84" s="92"/>
      <c r="BD84" s="6" t="s">
        <v>5</v>
      </c>
      <c r="BE84" s="7" t="s">
        <v>15</v>
      </c>
      <c r="BF84" s="8" t="s">
        <v>18</v>
      </c>
      <c r="BG84" s="8" t="s">
        <v>0</v>
      </c>
    </row>
    <row r="85" spans="1:59" x14ac:dyDescent="0.3">
      <c r="A85" s="9" t="s">
        <v>19</v>
      </c>
      <c r="B85" s="314">
        <v>241</v>
      </c>
      <c r="C85" s="99">
        <f>ROUND(Load!$F$43+'2022'!$E$110*0.485/744,0)</f>
        <v>156</v>
      </c>
      <c r="D85" s="2">
        <f t="shared" ref="D85:D108" si="75">SUM(B85:C85)</f>
        <v>397</v>
      </c>
      <c r="E85" s="9" t="s">
        <v>19</v>
      </c>
      <c r="F85" s="2"/>
      <c r="G85" s="2">
        <v>35</v>
      </c>
      <c r="H85" s="2"/>
      <c r="I85" s="73">
        <v>25</v>
      </c>
      <c r="J85" s="74">
        <v>100</v>
      </c>
      <c r="K85" s="74"/>
      <c r="L85" s="74">
        <v>50</v>
      </c>
      <c r="M85" s="74"/>
      <c r="N85" s="74">
        <v>75</v>
      </c>
      <c r="O85" s="104"/>
      <c r="P85" s="104"/>
      <c r="Q85" s="104"/>
      <c r="R85" s="104"/>
      <c r="S85" s="104"/>
      <c r="T85" s="104"/>
      <c r="U85" s="105"/>
      <c r="V85" s="2">
        <f t="shared" ref="V85:V108" si="76">SUM(F85:U85)</f>
        <v>285</v>
      </c>
      <c r="W85" s="10"/>
      <c r="X85" s="11">
        <f t="shared" ref="X85:X108" si="77">D85-V85</f>
        <v>112</v>
      </c>
      <c r="Y85" s="10"/>
      <c r="Z85" s="12">
        <f>142-F85-H85</f>
        <v>142</v>
      </c>
      <c r="AA85" s="12">
        <f>342-I85-L85-M85-N85</f>
        <v>192</v>
      </c>
      <c r="AB85" s="2">
        <f t="shared" ref="AB85:AB108" si="78">Z85+AA85</f>
        <v>334</v>
      </c>
      <c r="AC85" s="2">
        <f t="shared" ref="AC85:AC108" si="79">Z85+AA85-X85</f>
        <v>222</v>
      </c>
      <c r="AE85" s="9" t="s">
        <v>19</v>
      </c>
      <c r="AF85" s="2">
        <v>241</v>
      </c>
      <c r="AG85" s="99">
        <f>ROUND(Load!$F$43+'2022'!$E$110*0.485/744,0)</f>
        <v>156</v>
      </c>
      <c r="AH85" s="2">
        <f t="shared" ref="AH85:AH108" si="80">SUM(AF85:AG85)</f>
        <v>397</v>
      </c>
      <c r="AI85" s="9" t="s">
        <v>19</v>
      </c>
      <c r="AJ85" s="2"/>
      <c r="AK85" s="2">
        <v>35</v>
      </c>
      <c r="AL85" s="314"/>
      <c r="AM85" s="73">
        <v>25</v>
      </c>
      <c r="AN85" s="74">
        <v>100</v>
      </c>
      <c r="AO85" s="74"/>
      <c r="AP85" s="74">
        <v>50</v>
      </c>
      <c r="AQ85" s="74">
        <v>75</v>
      </c>
      <c r="AR85" s="74"/>
      <c r="AS85" s="104"/>
      <c r="AT85" s="104"/>
      <c r="AU85" s="104"/>
      <c r="AV85" s="104"/>
      <c r="AW85" s="104"/>
      <c r="AX85" s="104"/>
      <c r="AY85" s="105"/>
      <c r="AZ85" s="2">
        <f t="shared" ref="AZ85:AZ108" si="81">SUM(AJ85:AY85)</f>
        <v>285</v>
      </c>
      <c r="BA85" s="10"/>
      <c r="BB85" s="11">
        <f t="shared" ref="BB85:BB108" si="82">AH85-AZ85</f>
        <v>112</v>
      </c>
      <c r="BC85" s="10"/>
      <c r="BD85" s="12">
        <f t="shared" ref="BD85:BD108" si="83">142-AJ85-AL85</f>
        <v>142</v>
      </c>
      <c r="BE85" s="12">
        <f>342-AM85-AP85-AQ85</f>
        <v>192</v>
      </c>
      <c r="BF85" s="2">
        <f t="shared" ref="BF85:BF108" si="84">BD85+BE85</f>
        <v>334</v>
      </c>
      <c r="BG85" s="2">
        <f t="shared" ref="BG85:BG108" si="85">BD85+BE85-BB85</f>
        <v>222</v>
      </c>
    </row>
    <row r="86" spans="1:59" x14ac:dyDescent="0.3">
      <c r="A86" s="9" t="s">
        <v>20</v>
      </c>
      <c r="B86" s="314">
        <v>241</v>
      </c>
      <c r="C86" s="99">
        <f>ROUND(Load!$F$43+'2022'!$E$110*0.485/744,0)</f>
        <v>156</v>
      </c>
      <c r="D86" s="2">
        <f t="shared" si="75"/>
        <v>397</v>
      </c>
      <c r="E86" s="9" t="s">
        <v>20</v>
      </c>
      <c r="F86" s="2"/>
      <c r="G86" s="2">
        <v>35</v>
      </c>
      <c r="H86" s="2"/>
      <c r="I86" s="77">
        <v>25</v>
      </c>
      <c r="J86" s="78">
        <v>100</v>
      </c>
      <c r="K86" s="78"/>
      <c r="L86" s="78">
        <v>50</v>
      </c>
      <c r="M86" s="78"/>
      <c r="N86" s="78">
        <v>75</v>
      </c>
      <c r="O86" s="108"/>
      <c r="P86" s="108"/>
      <c r="Q86" s="108"/>
      <c r="R86" s="108"/>
      <c r="S86" s="108"/>
      <c r="T86" s="108"/>
      <c r="U86" s="109"/>
      <c r="V86" s="2">
        <f t="shared" si="76"/>
        <v>285</v>
      </c>
      <c r="W86" s="10"/>
      <c r="X86" s="11">
        <f t="shared" si="77"/>
        <v>112</v>
      </c>
      <c r="Y86" s="10"/>
      <c r="Z86" s="12">
        <f t="shared" ref="Z86:Z108" si="86">142-F86-H86</f>
        <v>142</v>
      </c>
      <c r="AA86" s="12">
        <f t="shared" ref="AA86:AA90" si="87">342-I86-L86-M86-N86</f>
        <v>192</v>
      </c>
      <c r="AB86" s="2">
        <f t="shared" si="78"/>
        <v>334</v>
      </c>
      <c r="AC86" s="2">
        <f t="shared" si="79"/>
        <v>222</v>
      </c>
      <c r="AE86" s="9" t="s">
        <v>20</v>
      </c>
      <c r="AF86" s="2">
        <v>241</v>
      </c>
      <c r="AG86" s="99">
        <f>ROUND(Load!$F$43+'2022'!$E$110*0.485/744,0)</f>
        <v>156</v>
      </c>
      <c r="AH86" s="2">
        <f t="shared" si="80"/>
        <v>397</v>
      </c>
      <c r="AI86" s="9" t="s">
        <v>20</v>
      </c>
      <c r="AJ86" s="2"/>
      <c r="AK86" s="2">
        <v>35</v>
      </c>
      <c r="AL86" s="314"/>
      <c r="AM86" s="77">
        <v>25</v>
      </c>
      <c r="AN86" s="78">
        <v>100</v>
      </c>
      <c r="AO86" s="78"/>
      <c r="AP86" s="78">
        <v>50</v>
      </c>
      <c r="AQ86" s="78">
        <v>75</v>
      </c>
      <c r="AR86" s="78"/>
      <c r="AS86" s="108"/>
      <c r="AT86" s="108"/>
      <c r="AU86" s="108"/>
      <c r="AV86" s="108"/>
      <c r="AW86" s="108"/>
      <c r="AX86" s="108"/>
      <c r="AY86" s="109"/>
      <c r="AZ86" s="2">
        <f t="shared" si="81"/>
        <v>285</v>
      </c>
      <c r="BA86" s="10"/>
      <c r="BB86" s="11">
        <f t="shared" si="82"/>
        <v>112</v>
      </c>
      <c r="BC86" s="10"/>
      <c r="BD86" s="12">
        <f t="shared" si="83"/>
        <v>142</v>
      </c>
      <c r="BE86" s="12">
        <f t="shared" ref="BE86:BE108" si="88">342-AM86-AP86-AQ86</f>
        <v>192</v>
      </c>
      <c r="BF86" s="2">
        <f t="shared" si="84"/>
        <v>334</v>
      </c>
      <c r="BG86" s="2">
        <f t="shared" si="85"/>
        <v>222</v>
      </c>
    </row>
    <row r="87" spans="1:59" x14ac:dyDescent="0.3">
      <c r="A87" s="9" t="s">
        <v>21</v>
      </c>
      <c r="B87" s="314">
        <v>241</v>
      </c>
      <c r="C87" s="99">
        <f>ROUND(Load!$F$43+'2022'!$E$110*0.485/744,0)</f>
        <v>156</v>
      </c>
      <c r="D87" s="2">
        <f t="shared" si="75"/>
        <v>397</v>
      </c>
      <c r="E87" s="9" t="s">
        <v>21</v>
      </c>
      <c r="F87" s="2"/>
      <c r="G87" s="2">
        <v>35</v>
      </c>
      <c r="H87" s="2"/>
      <c r="I87" s="77">
        <v>25</v>
      </c>
      <c r="J87" s="78">
        <v>100</v>
      </c>
      <c r="K87" s="78"/>
      <c r="L87" s="78">
        <v>50</v>
      </c>
      <c r="M87" s="78"/>
      <c r="N87" s="78">
        <v>75</v>
      </c>
      <c r="O87" s="108"/>
      <c r="P87" s="108"/>
      <c r="Q87" s="108"/>
      <c r="R87" s="108"/>
      <c r="S87" s="108"/>
      <c r="T87" s="108"/>
      <c r="U87" s="109"/>
      <c r="V87" s="2">
        <f t="shared" si="76"/>
        <v>285</v>
      </c>
      <c r="W87" s="10"/>
      <c r="X87" s="11">
        <f t="shared" si="77"/>
        <v>112</v>
      </c>
      <c r="Y87" s="10"/>
      <c r="Z87" s="12">
        <f t="shared" si="86"/>
        <v>142</v>
      </c>
      <c r="AA87" s="12">
        <f t="shared" si="87"/>
        <v>192</v>
      </c>
      <c r="AB87" s="2">
        <f t="shared" si="78"/>
        <v>334</v>
      </c>
      <c r="AC87" s="2">
        <f t="shared" si="79"/>
        <v>222</v>
      </c>
      <c r="AE87" s="9" t="s">
        <v>21</v>
      </c>
      <c r="AF87" s="2">
        <v>241</v>
      </c>
      <c r="AG87" s="99">
        <f>ROUND(Load!$F$43+'2022'!$E$110*0.485/744,0)</f>
        <v>156</v>
      </c>
      <c r="AH87" s="2">
        <f t="shared" si="80"/>
        <v>397</v>
      </c>
      <c r="AI87" s="9" t="s">
        <v>21</v>
      </c>
      <c r="AJ87" s="2"/>
      <c r="AK87" s="2">
        <v>35</v>
      </c>
      <c r="AL87" s="314"/>
      <c r="AM87" s="77">
        <v>25</v>
      </c>
      <c r="AN87" s="78">
        <v>100</v>
      </c>
      <c r="AO87" s="78"/>
      <c r="AP87" s="78">
        <v>50</v>
      </c>
      <c r="AQ87" s="78">
        <v>75</v>
      </c>
      <c r="AR87" s="78"/>
      <c r="AS87" s="108"/>
      <c r="AT87" s="108"/>
      <c r="AU87" s="108"/>
      <c r="AV87" s="108"/>
      <c r="AW87" s="108"/>
      <c r="AX87" s="108"/>
      <c r="AY87" s="109"/>
      <c r="AZ87" s="2">
        <f t="shared" si="81"/>
        <v>285</v>
      </c>
      <c r="BA87" s="10"/>
      <c r="BB87" s="11">
        <f t="shared" si="82"/>
        <v>112</v>
      </c>
      <c r="BC87" s="10"/>
      <c r="BD87" s="12">
        <f t="shared" si="83"/>
        <v>142</v>
      </c>
      <c r="BE87" s="12">
        <f t="shared" si="88"/>
        <v>192</v>
      </c>
      <c r="BF87" s="2">
        <f t="shared" si="84"/>
        <v>334</v>
      </c>
      <c r="BG87" s="2">
        <f t="shared" si="85"/>
        <v>222</v>
      </c>
    </row>
    <row r="88" spans="1:59" x14ac:dyDescent="0.3">
      <c r="A88" s="9" t="s">
        <v>22</v>
      </c>
      <c r="B88" s="314">
        <v>241</v>
      </c>
      <c r="C88" s="99">
        <f>ROUND(Load!$F$43+'2022'!$E$110*0.485/744,0)</f>
        <v>156</v>
      </c>
      <c r="D88" s="2">
        <f t="shared" si="75"/>
        <v>397</v>
      </c>
      <c r="E88" s="9" t="s">
        <v>22</v>
      </c>
      <c r="F88" s="2"/>
      <c r="G88" s="2">
        <v>35</v>
      </c>
      <c r="H88" s="2"/>
      <c r="I88" s="77">
        <v>25</v>
      </c>
      <c r="J88" s="78">
        <v>100</v>
      </c>
      <c r="K88" s="78"/>
      <c r="L88" s="78">
        <v>50</v>
      </c>
      <c r="M88" s="78"/>
      <c r="N88" s="78">
        <v>75</v>
      </c>
      <c r="O88" s="108"/>
      <c r="P88" s="108"/>
      <c r="Q88" s="108"/>
      <c r="R88" s="108"/>
      <c r="S88" s="108"/>
      <c r="T88" s="108"/>
      <c r="U88" s="109"/>
      <c r="V88" s="2">
        <f t="shared" si="76"/>
        <v>285</v>
      </c>
      <c r="W88" s="10"/>
      <c r="X88" s="11">
        <f t="shared" si="77"/>
        <v>112</v>
      </c>
      <c r="Y88" s="10"/>
      <c r="Z88" s="12">
        <f>142-F88-H88</f>
        <v>142</v>
      </c>
      <c r="AA88" s="12">
        <f t="shared" si="87"/>
        <v>192</v>
      </c>
      <c r="AB88" s="2">
        <f t="shared" si="78"/>
        <v>334</v>
      </c>
      <c r="AC88" s="2">
        <f t="shared" si="79"/>
        <v>222</v>
      </c>
      <c r="AE88" s="9" t="s">
        <v>22</v>
      </c>
      <c r="AF88" s="2">
        <v>241</v>
      </c>
      <c r="AG88" s="99">
        <f>ROUND(Load!$F$43+'2022'!$E$110*0.485/744,0)</f>
        <v>156</v>
      </c>
      <c r="AH88" s="2">
        <f t="shared" si="80"/>
        <v>397</v>
      </c>
      <c r="AI88" s="9" t="s">
        <v>22</v>
      </c>
      <c r="AJ88" s="2"/>
      <c r="AK88" s="2">
        <v>35</v>
      </c>
      <c r="AL88" s="314"/>
      <c r="AM88" s="77">
        <v>25</v>
      </c>
      <c r="AN88" s="78">
        <v>100</v>
      </c>
      <c r="AO88" s="78"/>
      <c r="AP88" s="78">
        <v>50</v>
      </c>
      <c r="AQ88" s="78">
        <v>75</v>
      </c>
      <c r="AR88" s="78"/>
      <c r="AS88" s="108"/>
      <c r="AT88" s="108"/>
      <c r="AU88" s="108"/>
      <c r="AV88" s="108"/>
      <c r="AW88" s="108"/>
      <c r="AX88" s="108"/>
      <c r="AY88" s="109"/>
      <c r="AZ88" s="2">
        <f t="shared" si="81"/>
        <v>285</v>
      </c>
      <c r="BA88" s="10"/>
      <c r="BB88" s="11">
        <f t="shared" si="82"/>
        <v>112</v>
      </c>
      <c r="BC88" s="10"/>
      <c r="BD88" s="12">
        <f t="shared" si="83"/>
        <v>142</v>
      </c>
      <c r="BE88" s="12">
        <f t="shared" si="88"/>
        <v>192</v>
      </c>
      <c r="BF88" s="2">
        <f t="shared" si="84"/>
        <v>334</v>
      </c>
      <c r="BG88" s="2">
        <f t="shared" si="85"/>
        <v>222</v>
      </c>
    </row>
    <row r="89" spans="1:59" x14ac:dyDescent="0.3">
      <c r="A89" s="9" t="s">
        <v>23</v>
      </c>
      <c r="B89" s="314">
        <v>241</v>
      </c>
      <c r="C89" s="99">
        <f>ROUND(Load!$F$43+'2022'!$E$110*0.485/744,0)</f>
        <v>156</v>
      </c>
      <c r="D89" s="2">
        <f t="shared" si="75"/>
        <v>397</v>
      </c>
      <c r="E89" s="9" t="s">
        <v>23</v>
      </c>
      <c r="F89" s="2"/>
      <c r="G89" s="2">
        <v>35</v>
      </c>
      <c r="H89" s="2"/>
      <c r="I89" s="77">
        <v>25</v>
      </c>
      <c r="J89" s="78">
        <v>100</v>
      </c>
      <c r="K89" s="78"/>
      <c r="L89" s="78">
        <v>50</v>
      </c>
      <c r="M89" s="78"/>
      <c r="N89" s="78">
        <v>75</v>
      </c>
      <c r="O89" s="108"/>
      <c r="P89" s="108"/>
      <c r="Q89" s="108"/>
      <c r="R89" s="108"/>
      <c r="S89" s="108"/>
      <c r="T89" s="108"/>
      <c r="U89" s="109"/>
      <c r="V89" s="2">
        <f t="shared" si="76"/>
        <v>285</v>
      </c>
      <c r="W89" s="10"/>
      <c r="X89" s="11">
        <f t="shared" si="77"/>
        <v>112</v>
      </c>
      <c r="Y89" s="10"/>
      <c r="Z89" s="12">
        <f t="shared" si="86"/>
        <v>142</v>
      </c>
      <c r="AA89" s="12">
        <f t="shared" si="87"/>
        <v>192</v>
      </c>
      <c r="AB89" s="2">
        <f t="shared" si="78"/>
        <v>334</v>
      </c>
      <c r="AC89" s="2">
        <f t="shared" si="79"/>
        <v>222</v>
      </c>
      <c r="AE89" s="9" t="s">
        <v>23</v>
      </c>
      <c r="AF89" s="2">
        <v>241</v>
      </c>
      <c r="AG89" s="99">
        <f>ROUND(Load!$F$43+'2022'!$E$110*0.485/744,0)</f>
        <v>156</v>
      </c>
      <c r="AH89" s="2">
        <f t="shared" si="80"/>
        <v>397</v>
      </c>
      <c r="AI89" s="9" t="s">
        <v>23</v>
      </c>
      <c r="AJ89" s="2"/>
      <c r="AK89" s="2">
        <v>35</v>
      </c>
      <c r="AL89" s="314"/>
      <c r="AM89" s="77">
        <v>25</v>
      </c>
      <c r="AN89" s="78">
        <v>100</v>
      </c>
      <c r="AO89" s="78"/>
      <c r="AP89" s="78">
        <v>50</v>
      </c>
      <c r="AQ89" s="78">
        <v>75</v>
      </c>
      <c r="AR89" s="78"/>
      <c r="AS89" s="108"/>
      <c r="AT89" s="108"/>
      <c r="AU89" s="108"/>
      <c r="AV89" s="108"/>
      <c r="AW89" s="108"/>
      <c r="AX89" s="108"/>
      <c r="AY89" s="109"/>
      <c r="AZ89" s="2">
        <f t="shared" si="81"/>
        <v>285</v>
      </c>
      <c r="BA89" s="10"/>
      <c r="BB89" s="11">
        <f t="shared" si="82"/>
        <v>112</v>
      </c>
      <c r="BC89" s="10"/>
      <c r="BD89" s="12">
        <f>142-AJ89-AL89</f>
        <v>142</v>
      </c>
      <c r="BE89" s="12">
        <f t="shared" si="88"/>
        <v>192</v>
      </c>
      <c r="BF89" s="2">
        <f t="shared" si="84"/>
        <v>334</v>
      </c>
      <c r="BG89" s="2">
        <f t="shared" si="85"/>
        <v>222</v>
      </c>
    </row>
    <row r="90" spans="1:59" x14ac:dyDescent="0.3">
      <c r="A90" s="9" t="s">
        <v>24</v>
      </c>
      <c r="B90" s="314">
        <v>241</v>
      </c>
      <c r="C90" s="99">
        <f>ROUND(Load!$F$43+'2022'!$E$110*0.485/744,0)</f>
        <v>156</v>
      </c>
      <c r="D90" s="2">
        <f t="shared" si="75"/>
        <v>397</v>
      </c>
      <c r="E90" s="9" t="s">
        <v>24</v>
      </c>
      <c r="F90" s="2"/>
      <c r="G90" s="2">
        <v>35</v>
      </c>
      <c r="H90" s="2"/>
      <c r="I90" s="77">
        <v>25</v>
      </c>
      <c r="J90" s="78">
        <v>100</v>
      </c>
      <c r="K90" s="78"/>
      <c r="L90" s="78">
        <v>50</v>
      </c>
      <c r="M90" s="78"/>
      <c r="N90" s="78">
        <v>75</v>
      </c>
      <c r="O90" s="108"/>
      <c r="P90" s="108"/>
      <c r="Q90" s="108"/>
      <c r="R90" s="108"/>
      <c r="S90" s="108"/>
      <c r="T90" s="108"/>
      <c r="U90" s="109"/>
      <c r="V90" s="2">
        <f t="shared" si="76"/>
        <v>285</v>
      </c>
      <c r="W90" s="10"/>
      <c r="X90" s="11">
        <f t="shared" si="77"/>
        <v>112</v>
      </c>
      <c r="Y90" s="10"/>
      <c r="Z90" s="12">
        <f t="shared" si="86"/>
        <v>142</v>
      </c>
      <c r="AA90" s="12">
        <f t="shared" si="87"/>
        <v>192</v>
      </c>
      <c r="AB90" s="2">
        <f t="shared" si="78"/>
        <v>334</v>
      </c>
      <c r="AC90" s="2">
        <f t="shared" si="79"/>
        <v>222</v>
      </c>
      <c r="AE90" s="9" t="s">
        <v>24</v>
      </c>
      <c r="AF90" s="2">
        <v>241</v>
      </c>
      <c r="AG90" s="99">
        <f>ROUND(Load!$F$43+'2022'!$E$110*0.485/744,0)</f>
        <v>156</v>
      </c>
      <c r="AH90" s="2">
        <f t="shared" si="80"/>
        <v>397</v>
      </c>
      <c r="AI90" s="9" t="s">
        <v>24</v>
      </c>
      <c r="AJ90" s="2"/>
      <c r="AK90" s="2">
        <v>35</v>
      </c>
      <c r="AL90" s="314"/>
      <c r="AM90" s="77">
        <v>25</v>
      </c>
      <c r="AN90" s="78">
        <v>100</v>
      </c>
      <c r="AO90" s="78"/>
      <c r="AP90" s="78">
        <v>50</v>
      </c>
      <c r="AQ90" s="78">
        <v>75</v>
      </c>
      <c r="AR90" s="78"/>
      <c r="AS90" s="108"/>
      <c r="AT90" s="108"/>
      <c r="AU90" s="108"/>
      <c r="AV90" s="108"/>
      <c r="AW90" s="108"/>
      <c r="AX90" s="108"/>
      <c r="AY90" s="109"/>
      <c r="AZ90" s="2">
        <f t="shared" si="81"/>
        <v>285</v>
      </c>
      <c r="BA90" s="10"/>
      <c r="BB90" s="11">
        <f t="shared" si="82"/>
        <v>112</v>
      </c>
      <c r="BC90" s="10"/>
      <c r="BD90" s="12">
        <f t="shared" si="83"/>
        <v>142</v>
      </c>
      <c r="BE90" s="12">
        <f t="shared" si="88"/>
        <v>192</v>
      </c>
      <c r="BF90" s="2">
        <f t="shared" si="84"/>
        <v>334</v>
      </c>
      <c r="BG90" s="2">
        <f t="shared" si="85"/>
        <v>222</v>
      </c>
    </row>
    <row r="91" spans="1:59" x14ac:dyDescent="0.3">
      <c r="A91" s="9" t="s">
        <v>25</v>
      </c>
      <c r="B91" s="314"/>
      <c r="C91" s="99">
        <f>ROUND(Load!$F$43+'2022'!$E$110*0.485/744,0)</f>
        <v>156</v>
      </c>
      <c r="D91" s="2">
        <f t="shared" si="75"/>
        <v>156</v>
      </c>
      <c r="E91" s="9" t="s">
        <v>25</v>
      </c>
      <c r="F91" s="2">
        <f>'Hoover with 30 MW Solar'!$D$39</f>
        <v>32</v>
      </c>
      <c r="G91" s="2">
        <v>35</v>
      </c>
      <c r="H91" s="2"/>
      <c r="I91" s="77"/>
      <c r="J91" s="78"/>
      <c r="K91" s="78">
        <v>100</v>
      </c>
      <c r="L91" s="78"/>
      <c r="M91" s="78">
        <v>50</v>
      </c>
      <c r="N91" s="78"/>
      <c r="O91" s="108"/>
      <c r="P91" s="108"/>
      <c r="Q91" s="108"/>
      <c r="R91" s="108"/>
      <c r="S91" s="108"/>
      <c r="T91" s="108"/>
      <c r="U91" s="109"/>
      <c r="V91" s="2">
        <f t="shared" si="76"/>
        <v>217</v>
      </c>
      <c r="W91" s="10"/>
      <c r="X91" s="13">
        <f t="shared" si="77"/>
        <v>-61</v>
      </c>
      <c r="Y91" s="10"/>
      <c r="Z91" s="14">
        <f t="shared" si="86"/>
        <v>110</v>
      </c>
      <c r="AA91" s="14">
        <f>217-I91-L91-M91-N91</f>
        <v>167</v>
      </c>
      <c r="AB91" s="2">
        <f t="shared" si="78"/>
        <v>277</v>
      </c>
      <c r="AC91" s="2">
        <f t="shared" si="79"/>
        <v>338</v>
      </c>
      <c r="AE91" s="9" t="s">
        <v>25</v>
      </c>
      <c r="AF91" s="2"/>
      <c r="AG91" s="99">
        <f>ROUND(Load!$F$43+'2022'!$E$110*0.485/744,0)</f>
        <v>156</v>
      </c>
      <c r="AH91" s="2">
        <f t="shared" si="80"/>
        <v>156</v>
      </c>
      <c r="AI91" s="9" t="s">
        <v>25</v>
      </c>
      <c r="AJ91" s="2">
        <f>'Hoover with 30 MW Solar'!$D$39</f>
        <v>32</v>
      </c>
      <c r="AK91" s="2">
        <v>35</v>
      </c>
      <c r="AL91" s="314"/>
      <c r="AM91" s="77"/>
      <c r="AN91" s="78"/>
      <c r="AO91" s="78">
        <v>100</v>
      </c>
      <c r="AP91" s="78">
        <v>50</v>
      </c>
      <c r="AQ91" s="78">
        <v>75</v>
      </c>
      <c r="AR91" s="78"/>
      <c r="AS91" s="108"/>
      <c r="AT91" s="108"/>
      <c r="AU91" s="108"/>
      <c r="AV91" s="108"/>
      <c r="AW91" s="108"/>
      <c r="AX91" s="108"/>
      <c r="AY91" s="109"/>
      <c r="AZ91" s="2">
        <f t="shared" si="81"/>
        <v>292</v>
      </c>
      <c r="BA91" s="10"/>
      <c r="BB91" s="13">
        <f t="shared" si="82"/>
        <v>-136</v>
      </c>
      <c r="BC91" s="10"/>
      <c r="BD91" s="14">
        <f t="shared" si="83"/>
        <v>110</v>
      </c>
      <c r="BE91" s="14">
        <f t="shared" si="88"/>
        <v>217</v>
      </c>
      <c r="BF91" s="2">
        <f t="shared" si="84"/>
        <v>327</v>
      </c>
      <c r="BG91" s="2">
        <f t="shared" si="85"/>
        <v>463</v>
      </c>
    </row>
    <row r="92" spans="1:59" x14ac:dyDescent="0.3">
      <c r="A92" s="9" t="s">
        <v>26</v>
      </c>
      <c r="B92" s="314"/>
      <c r="C92" s="99">
        <f>ROUND(Load!$F$43+'2022'!$E$110*0.485/744,0)</f>
        <v>156</v>
      </c>
      <c r="D92" s="2">
        <f t="shared" si="75"/>
        <v>156</v>
      </c>
      <c r="E92" s="9" t="s">
        <v>26</v>
      </c>
      <c r="F92" s="2">
        <f>'Hoover with 30 MW Solar'!$D$39</f>
        <v>32</v>
      </c>
      <c r="G92" s="2">
        <v>35</v>
      </c>
      <c r="H92" s="2"/>
      <c r="I92" s="77"/>
      <c r="J92" s="78"/>
      <c r="K92" s="78">
        <v>100</v>
      </c>
      <c r="L92" s="78"/>
      <c r="M92" s="78">
        <v>50</v>
      </c>
      <c r="N92" s="78"/>
      <c r="O92" s="108"/>
      <c r="P92" s="108"/>
      <c r="Q92" s="108"/>
      <c r="R92" s="108"/>
      <c r="S92" s="108"/>
      <c r="T92" s="108"/>
      <c r="U92" s="109"/>
      <c r="V92" s="2">
        <f t="shared" si="76"/>
        <v>217</v>
      </c>
      <c r="W92" s="10"/>
      <c r="X92" s="13">
        <f t="shared" si="77"/>
        <v>-61</v>
      </c>
      <c r="Y92" s="10"/>
      <c r="Z92" s="14">
        <f t="shared" si="86"/>
        <v>110</v>
      </c>
      <c r="AA92" s="14">
        <f t="shared" ref="AA92:AA106" si="89">217-I92-L92-M92-N92</f>
        <v>167</v>
      </c>
      <c r="AB92" s="2">
        <f t="shared" si="78"/>
        <v>277</v>
      </c>
      <c r="AC92" s="2">
        <f t="shared" si="79"/>
        <v>338</v>
      </c>
      <c r="AE92" s="9" t="s">
        <v>26</v>
      </c>
      <c r="AF92" s="2"/>
      <c r="AG92" s="99">
        <f>ROUND(Load!$F$43+'2022'!$E$110*0.485/744,0)</f>
        <v>156</v>
      </c>
      <c r="AH92" s="2">
        <f t="shared" si="80"/>
        <v>156</v>
      </c>
      <c r="AI92" s="9" t="s">
        <v>26</v>
      </c>
      <c r="AJ92" s="2">
        <f>'Hoover with 30 MW Solar'!$D$39</f>
        <v>32</v>
      </c>
      <c r="AK92" s="2">
        <v>35</v>
      </c>
      <c r="AL92" s="314"/>
      <c r="AM92" s="77"/>
      <c r="AN92" s="78"/>
      <c r="AO92" s="78">
        <v>100</v>
      </c>
      <c r="AP92" s="78">
        <v>50</v>
      </c>
      <c r="AQ92" s="78">
        <v>75</v>
      </c>
      <c r="AR92" s="78"/>
      <c r="AS92" s="108"/>
      <c r="AT92" s="108"/>
      <c r="AU92" s="108"/>
      <c r="AV92" s="108"/>
      <c r="AW92" s="108"/>
      <c r="AX92" s="108"/>
      <c r="AY92" s="109"/>
      <c r="AZ92" s="2">
        <f t="shared" si="81"/>
        <v>292</v>
      </c>
      <c r="BA92" s="10"/>
      <c r="BB92" s="13">
        <f t="shared" si="82"/>
        <v>-136</v>
      </c>
      <c r="BC92" s="10"/>
      <c r="BD92" s="14">
        <f t="shared" si="83"/>
        <v>110</v>
      </c>
      <c r="BE92" s="14">
        <f t="shared" si="88"/>
        <v>217</v>
      </c>
      <c r="BF92" s="2">
        <f t="shared" si="84"/>
        <v>327</v>
      </c>
      <c r="BG92" s="2">
        <f t="shared" si="85"/>
        <v>463</v>
      </c>
    </row>
    <row r="93" spans="1:59" x14ac:dyDescent="0.3">
      <c r="A93" s="9" t="s">
        <v>27</v>
      </c>
      <c r="B93" s="314">
        <v>289</v>
      </c>
      <c r="C93" s="99">
        <f>ROUND(Load!$F$43+'2022'!$E$110*0.485/744,0)</f>
        <v>156</v>
      </c>
      <c r="D93" s="2">
        <f t="shared" si="75"/>
        <v>445</v>
      </c>
      <c r="E93" s="9" t="s">
        <v>27</v>
      </c>
      <c r="F93" s="2">
        <f>'Hoover with 30 MW Solar'!$D$39</f>
        <v>32</v>
      </c>
      <c r="G93" s="2">
        <v>35</v>
      </c>
      <c r="H93" s="2"/>
      <c r="I93" s="77"/>
      <c r="J93" s="78"/>
      <c r="K93" s="78">
        <v>100</v>
      </c>
      <c r="L93" s="78"/>
      <c r="M93" s="78">
        <v>50</v>
      </c>
      <c r="N93" s="78"/>
      <c r="O93" s="108"/>
      <c r="P93" s="108"/>
      <c r="Q93" s="108"/>
      <c r="R93" s="108"/>
      <c r="S93" s="108"/>
      <c r="T93" s="108"/>
      <c r="U93" s="109"/>
      <c r="V93" s="2">
        <f t="shared" si="76"/>
        <v>217</v>
      </c>
      <c r="W93" s="10"/>
      <c r="X93" s="13">
        <f t="shared" si="77"/>
        <v>228</v>
      </c>
      <c r="Y93" s="10"/>
      <c r="Z93" s="14">
        <f t="shared" si="86"/>
        <v>110</v>
      </c>
      <c r="AA93" s="14">
        <f t="shared" si="89"/>
        <v>167</v>
      </c>
      <c r="AB93" s="2">
        <f t="shared" si="78"/>
        <v>277</v>
      </c>
      <c r="AC93" s="2">
        <f t="shared" si="79"/>
        <v>49</v>
      </c>
      <c r="AE93" s="9" t="s">
        <v>27</v>
      </c>
      <c r="AF93" s="2">
        <v>289</v>
      </c>
      <c r="AG93" s="99">
        <f>ROUND(Load!$F$43+'2022'!$E$110*0.485/744,0)</f>
        <v>156</v>
      </c>
      <c r="AH93" s="2">
        <f t="shared" si="80"/>
        <v>445</v>
      </c>
      <c r="AI93" s="9" t="s">
        <v>27</v>
      </c>
      <c r="AJ93" s="2">
        <f>'Hoover with 30 MW Solar'!$D$39</f>
        <v>32</v>
      </c>
      <c r="AK93" s="2">
        <v>35</v>
      </c>
      <c r="AL93" s="314"/>
      <c r="AM93" s="77"/>
      <c r="AN93" s="78"/>
      <c r="AO93" s="78">
        <v>100</v>
      </c>
      <c r="AP93" s="78">
        <v>50</v>
      </c>
      <c r="AQ93" s="78">
        <v>75</v>
      </c>
      <c r="AR93" s="78"/>
      <c r="AS93" s="108"/>
      <c r="AT93" s="108"/>
      <c r="AU93" s="108"/>
      <c r="AV93" s="108"/>
      <c r="AW93" s="108"/>
      <c r="AX93" s="108"/>
      <c r="AY93" s="109"/>
      <c r="AZ93" s="2">
        <f t="shared" si="81"/>
        <v>292</v>
      </c>
      <c r="BA93" s="10"/>
      <c r="BB93" s="13">
        <f t="shared" si="82"/>
        <v>153</v>
      </c>
      <c r="BC93" s="10"/>
      <c r="BD93" s="14">
        <f t="shared" si="83"/>
        <v>110</v>
      </c>
      <c r="BE93" s="14">
        <f t="shared" si="88"/>
        <v>217</v>
      </c>
      <c r="BF93" s="2">
        <f t="shared" si="84"/>
        <v>327</v>
      </c>
      <c r="BG93" s="2">
        <f t="shared" si="85"/>
        <v>174</v>
      </c>
    </row>
    <row r="94" spans="1:59" x14ac:dyDescent="0.3">
      <c r="A94" s="9" t="s">
        <v>28</v>
      </c>
      <c r="B94" s="314">
        <v>289</v>
      </c>
      <c r="C94" s="99">
        <f>ROUND(Load!$F$43+'2022'!$E$110*0.485/744,0)</f>
        <v>156</v>
      </c>
      <c r="D94" s="2">
        <f t="shared" si="75"/>
        <v>445</v>
      </c>
      <c r="E94" s="9" t="s">
        <v>28</v>
      </c>
      <c r="F94" s="2">
        <f>'Hoover with 30 MW Solar'!$D$39</f>
        <v>32</v>
      </c>
      <c r="G94" s="2">
        <v>35</v>
      </c>
      <c r="H94" s="2"/>
      <c r="I94" s="77"/>
      <c r="J94" s="78"/>
      <c r="K94" s="78">
        <v>100</v>
      </c>
      <c r="L94" s="78"/>
      <c r="M94" s="78">
        <v>50</v>
      </c>
      <c r="N94" s="78"/>
      <c r="O94" s="108"/>
      <c r="P94" s="108"/>
      <c r="Q94" s="108"/>
      <c r="R94" s="108"/>
      <c r="S94" s="108"/>
      <c r="T94" s="108"/>
      <c r="U94" s="109"/>
      <c r="V94" s="2">
        <f t="shared" si="76"/>
        <v>217</v>
      </c>
      <c r="W94" s="10"/>
      <c r="X94" s="13">
        <f t="shared" si="77"/>
        <v>228</v>
      </c>
      <c r="Y94" s="10"/>
      <c r="Z94" s="14">
        <f t="shared" si="86"/>
        <v>110</v>
      </c>
      <c r="AA94" s="14">
        <f t="shared" si="89"/>
        <v>167</v>
      </c>
      <c r="AB94" s="2">
        <f t="shared" si="78"/>
        <v>277</v>
      </c>
      <c r="AC94" s="2">
        <f t="shared" si="79"/>
        <v>49</v>
      </c>
      <c r="AE94" s="9" t="s">
        <v>28</v>
      </c>
      <c r="AF94" s="2">
        <v>289</v>
      </c>
      <c r="AG94" s="99">
        <f>ROUND(Load!$F$43+'2022'!$E$110*0.485/744,0)</f>
        <v>156</v>
      </c>
      <c r="AH94" s="2">
        <f t="shared" si="80"/>
        <v>445</v>
      </c>
      <c r="AI94" s="9" t="s">
        <v>28</v>
      </c>
      <c r="AJ94" s="2">
        <f>'Hoover with 30 MW Solar'!$D$39</f>
        <v>32</v>
      </c>
      <c r="AK94" s="2">
        <v>35</v>
      </c>
      <c r="AL94" s="314"/>
      <c r="AM94" s="77"/>
      <c r="AN94" s="78"/>
      <c r="AO94" s="78">
        <v>100</v>
      </c>
      <c r="AP94" s="78">
        <v>50</v>
      </c>
      <c r="AQ94" s="78">
        <v>75</v>
      </c>
      <c r="AR94" s="78"/>
      <c r="AS94" s="108"/>
      <c r="AT94" s="108"/>
      <c r="AU94" s="108"/>
      <c r="AV94" s="108"/>
      <c r="AW94" s="108"/>
      <c r="AX94" s="108"/>
      <c r="AY94" s="109"/>
      <c r="AZ94" s="2">
        <f t="shared" si="81"/>
        <v>292</v>
      </c>
      <c r="BA94" s="10"/>
      <c r="BB94" s="13">
        <f t="shared" si="82"/>
        <v>153</v>
      </c>
      <c r="BC94" s="10"/>
      <c r="BD94" s="14">
        <f t="shared" si="83"/>
        <v>110</v>
      </c>
      <c r="BE94" s="14">
        <f t="shared" si="88"/>
        <v>217</v>
      </c>
      <c r="BF94" s="2">
        <f t="shared" si="84"/>
        <v>327</v>
      </c>
      <c r="BG94" s="2">
        <f t="shared" si="85"/>
        <v>174</v>
      </c>
    </row>
    <row r="95" spans="1:59" x14ac:dyDescent="0.3">
      <c r="A95" s="9" t="s">
        <v>29</v>
      </c>
      <c r="B95" s="314">
        <v>289</v>
      </c>
      <c r="C95" s="99">
        <f>ROUND(Load!$F$43+'2022'!$E$110*0.485/744,0)</f>
        <v>156</v>
      </c>
      <c r="D95" s="2">
        <f t="shared" si="75"/>
        <v>445</v>
      </c>
      <c r="E95" s="9" t="s">
        <v>29</v>
      </c>
      <c r="F95" s="2">
        <f>'Hoover with 30 MW Solar'!$D$39</f>
        <v>32</v>
      </c>
      <c r="G95" s="2">
        <v>35</v>
      </c>
      <c r="H95" s="2"/>
      <c r="I95" s="77"/>
      <c r="J95" s="78"/>
      <c r="K95" s="78">
        <v>100</v>
      </c>
      <c r="L95" s="78"/>
      <c r="M95" s="78">
        <v>50</v>
      </c>
      <c r="N95" s="78"/>
      <c r="O95" s="108"/>
      <c r="P95" s="108"/>
      <c r="Q95" s="108"/>
      <c r="R95" s="108"/>
      <c r="S95" s="108"/>
      <c r="T95" s="108"/>
      <c r="U95" s="109"/>
      <c r="V95" s="2">
        <f t="shared" si="76"/>
        <v>217</v>
      </c>
      <c r="W95" s="10"/>
      <c r="X95" s="13">
        <f t="shared" si="77"/>
        <v>228</v>
      </c>
      <c r="Y95" s="10"/>
      <c r="Z95" s="14">
        <f t="shared" si="86"/>
        <v>110</v>
      </c>
      <c r="AA95" s="14">
        <f t="shared" si="89"/>
        <v>167</v>
      </c>
      <c r="AB95" s="2">
        <f t="shared" si="78"/>
        <v>277</v>
      </c>
      <c r="AC95" s="2">
        <f t="shared" si="79"/>
        <v>49</v>
      </c>
      <c r="AE95" s="9" t="s">
        <v>29</v>
      </c>
      <c r="AF95" s="2">
        <v>289</v>
      </c>
      <c r="AG95" s="99">
        <f>ROUND(Load!$F$43+'2022'!$E$110*0.485/744,0)</f>
        <v>156</v>
      </c>
      <c r="AH95" s="2">
        <f t="shared" si="80"/>
        <v>445</v>
      </c>
      <c r="AI95" s="9" t="s">
        <v>29</v>
      </c>
      <c r="AJ95" s="2">
        <f>'Hoover with 30 MW Solar'!$D$39</f>
        <v>32</v>
      </c>
      <c r="AK95" s="2">
        <v>35</v>
      </c>
      <c r="AL95" s="314"/>
      <c r="AM95" s="77"/>
      <c r="AN95" s="78"/>
      <c r="AO95" s="78">
        <v>100</v>
      </c>
      <c r="AP95" s="78">
        <v>50</v>
      </c>
      <c r="AQ95" s="78">
        <v>75</v>
      </c>
      <c r="AR95" s="78"/>
      <c r="AS95" s="108"/>
      <c r="AT95" s="108"/>
      <c r="AU95" s="108"/>
      <c r="AV95" s="108"/>
      <c r="AW95" s="108"/>
      <c r="AX95" s="108"/>
      <c r="AY95" s="109"/>
      <c r="AZ95" s="2">
        <f t="shared" si="81"/>
        <v>292</v>
      </c>
      <c r="BA95" s="10"/>
      <c r="BB95" s="13">
        <f t="shared" si="82"/>
        <v>153</v>
      </c>
      <c r="BC95" s="10"/>
      <c r="BD95" s="14">
        <f t="shared" si="83"/>
        <v>110</v>
      </c>
      <c r="BE95" s="14">
        <f t="shared" si="88"/>
        <v>217</v>
      </c>
      <c r="BF95" s="2">
        <f t="shared" si="84"/>
        <v>327</v>
      </c>
      <c r="BG95" s="2">
        <f t="shared" si="85"/>
        <v>174</v>
      </c>
    </row>
    <row r="96" spans="1:59" x14ac:dyDescent="0.3">
      <c r="A96" s="9" t="s">
        <v>30</v>
      </c>
      <c r="B96" s="314">
        <v>289</v>
      </c>
      <c r="C96" s="99">
        <f>ROUND(Load!$F$43+'2022'!$E$110*0.485/744,0)</f>
        <v>156</v>
      </c>
      <c r="D96" s="2">
        <f t="shared" si="75"/>
        <v>445</v>
      </c>
      <c r="E96" s="9" t="s">
        <v>30</v>
      </c>
      <c r="F96" s="2">
        <f>'Hoover with 30 MW Solar'!$D$39</f>
        <v>32</v>
      </c>
      <c r="G96" s="2">
        <v>35</v>
      </c>
      <c r="H96" s="2"/>
      <c r="I96" s="77"/>
      <c r="J96" s="78"/>
      <c r="K96" s="78">
        <v>100</v>
      </c>
      <c r="L96" s="78"/>
      <c r="M96" s="78">
        <v>50</v>
      </c>
      <c r="N96" s="78"/>
      <c r="O96" s="108"/>
      <c r="P96" s="108"/>
      <c r="Q96" s="108"/>
      <c r="R96" s="108"/>
      <c r="S96" s="108"/>
      <c r="T96" s="108"/>
      <c r="U96" s="109"/>
      <c r="V96" s="2">
        <f t="shared" si="76"/>
        <v>217</v>
      </c>
      <c r="W96" s="10"/>
      <c r="X96" s="13">
        <f t="shared" si="77"/>
        <v>228</v>
      </c>
      <c r="Y96" s="10"/>
      <c r="Z96" s="14">
        <f t="shared" si="86"/>
        <v>110</v>
      </c>
      <c r="AA96" s="14">
        <f t="shared" si="89"/>
        <v>167</v>
      </c>
      <c r="AB96" s="2">
        <f t="shared" si="78"/>
        <v>277</v>
      </c>
      <c r="AC96" s="2">
        <f t="shared" si="79"/>
        <v>49</v>
      </c>
      <c r="AE96" s="9" t="s">
        <v>30</v>
      </c>
      <c r="AF96" s="2">
        <v>289</v>
      </c>
      <c r="AG96" s="99">
        <f>ROUND(Load!$F$43+'2022'!$E$110*0.485/744,0)</f>
        <v>156</v>
      </c>
      <c r="AH96" s="2">
        <f t="shared" si="80"/>
        <v>445</v>
      </c>
      <c r="AI96" s="9" t="s">
        <v>30</v>
      </c>
      <c r="AJ96" s="2">
        <f>'Hoover with 30 MW Solar'!$D$39</f>
        <v>32</v>
      </c>
      <c r="AK96" s="2">
        <v>35</v>
      </c>
      <c r="AL96" s="314"/>
      <c r="AM96" s="77"/>
      <c r="AN96" s="78"/>
      <c r="AO96" s="78">
        <v>100</v>
      </c>
      <c r="AP96" s="78">
        <v>50</v>
      </c>
      <c r="AQ96" s="78">
        <v>75</v>
      </c>
      <c r="AR96" s="78"/>
      <c r="AS96" s="108"/>
      <c r="AT96" s="108"/>
      <c r="AU96" s="108"/>
      <c r="AV96" s="108"/>
      <c r="AW96" s="108"/>
      <c r="AX96" s="108"/>
      <c r="AY96" s="109"/>
      <c r="AZ96" s="2">
        <f t="shared" si="81"/>
        <v>292</v>
      </c>
      <c r="BA96" s="10"/>
      <c r="BB96" s="13">
        <f t="shared" si="82"/>
        <v>153</v>
      </c>
      <c r="BC96" s="10"/>
      <c r="BD96" s="14">
        <f t="shared" si="83"/>
        <v>110</v>
      </c>
      <c r="BE96" s="14">
        <f t="shared" si="88"/>
        <v>217</v>
      </c>
      <c r="BF96" s="2">
        <f t="shared" si="84"/>
        <v>327</v>
      </c>
      <c r="BG96" s="2">
        <f t="shared" si="85"/>
        <v>174</v>
      </c>
    </row>
    <row r="97" spans="1:59" x14ac:dyDescent="0.3">
      <c r="A97" s="9" t="s">
        <v>31</v>
      </c>
      <c r="B97" s="314">
        <v>289</v>
      </c>
      <c r="C97" s="99">
        <f>ROUND(Load!$F$43+'2022'!$E$110*0.485/744,0)</f>
        <v>156</v>
      </c>
      <c r="D97" s="2">
        <f t="shared" si="75"/>
        <v>445</v>
      </c>
      <c r="E97" s="9" t="s">
        <v>31</v>
      </c>
      <c r="F97" s="2">
        <f>'Hoover with 30 MW Solar'!$D$39</f>
        <v>32</v>
      </c>
      <c r="G97" s="2">
        <v>35</v>
      </c>
      <c r="H97" s="2"/>
      <c r="I97" s="77"/>
      <c r="J97" s="78"/>
      <c r="K97" s="78">
        <v>100</v>
      </c>
      <c r="L97" s="78"/>
      <c r="M97" s="78">
        <v>50</v>
      </c>
      <c r="N97" s="78"/>
      <c r="O97" s="108"/>
      <c r="P97" s="108"/>
      <c r="Q97" s="108"/>
      <c r="R97" s="108"/>
      <c r="S97" s="108"/>
      <c r="T97" s="108"/>
      <c r="U97" s="109"/>
      <c r="V97" s="2">
        <f t="shared" si="76"/>
        <v>217</v>
      </c>
      <c r="W97" s="10"/>
      <c r="X97" s="13">
        <f t="shared" si="77"/>
        <v>228</v>
      </c>
      <c r="Y97" s="10"/>
      <c r="Z97" s="14">
        <f t="shared" si="86"/>
        <v>110</v>
      </c>
      <c r="AA97" s="14">
        <f t="shared" si="89"/>
        <v>167</v>
      </c>
      <c r="AB97" s="2">
        <f t="shared" si="78"/>
        <v>277</v>
      </c>
      <c r="AC97" s="2">
        <f t="shared" si="79"/>
        <v>49</v>
      </c>
      <c r="AE97" s="9" t="s">
        <v>31</v>
      </c>
      <c r="AF97" s="2">
        <v>289</v>
      </c>
      <c r="AG97" s="99">
        <f>ROUND(Load!$F$43+'2022'!$E$110*0.485/744,0)</f>
        <v>156</v>
      </c>
      <c r="AH97" s="2">
        <f t="shared" si="80"/>
        <v>445</v>
      </c>
      <c r="AI97" s="9" t="s">
        <v>31</v>
      </c>
      <c r="AJ97" s="2">
        <f>'Hoover with 30 MW Solar'!$D$39</f>
        <v>32</v>
      </c>
      <c r="AK97" s="2">
        <v>35</v>
      </c>
      <c r="AL97" s="314"/>
      <c r="AM97" s="77"/>
      <c r="AN97" s="78"/>
      <c r="AO97" s="78">
        <v>100</v>
      </c>
      <c r="AP97" s="78">
        <v>50</v>
      </c>
      <c r="AQ97" s="78">
        <v>75</v>
      </c>
      <c r="AR97" s="78"/>
      <c r="AS97" s="108"/>
      <c r="AT97" s="108"/>
      <c r="AU97" s="108"/>
      <c r="AV97" s="108"/>
      <c r="AW97" s="108"/>
      <c r="AX97" s="108"/>
      <c r="AY97" s="109"/>
      <c r="AZ97" s="2">
        <f t="shared" si="81"/>
        <v>292</v>
      </c>
      <c r="BA97" s="10"/>
      <c r="BB97" s="13">
        <f t="shared" si="82"/>
        <v>153</v>
      </c>
      <c r="BC97" s="10"/>
      <c r="BD97" s="14">
        <f t="shared" si="83"/>
        <v>110</v>
      </c>
      <c r="BE97" s="14">
        <f t="shared" si="88"/>
        <v>217</v>
      </c>
      <c r="BF97" s="2">
        <f t="shared" si="84"/>
        <v>327</v>
      </c>
      <c r="BG97" s="2">
        <f t="shared" si="85"/>
        <v>174</v>
      </c>
    </row>
    <row r="98" spans="1:59" x14ac:dyDescent="0.3">
      <c r="A98" s="9" t="s">
        <v>32</v>
      </c>
      <c r="B98" s="314">
        <v>289</v>
      </c>
      <c r="C98" s="99">
        <f>ROUND(Load!$F$43+'2022'!$E$110*0.485/744,0)</f>
        <v>156</v>
      </c>
      <c r="D98" s="2">
        <f t="shared" si="75"/>
        <v>445</v>
      </c>
      <c r="E98" s="9" t="s">
        <v>32</v>
      </c>
      <c r="F98" s="2">
        <f>'Hoover with 30 MW Solar'!$D$39</f>
        <v>32</v>
      </c>
      <c r="G98" s="2">
        <v>35</v>
      </c>
      <c r="H98" s="2"/>
      <c r="I98" s="77"/>
      <c r="J98" s="78"/>
      <c r="K98" s="78">
        <v>100</v>
      </c>
      <c r="L98" s="78"/>
      <c r="M98" s="78">
        <v>50</v>
      </c>
      <c r="N98" s="78"/>
      <c r="O98" s="108"/>
      <c r="P98" s="108"/>
      <c r="Q98" s="108"/>
      <c r="R98" s="108"/>
      <c r="S98" s="108"/>
      <c r="T98" s="108"/>
      <c r="U98" s="109"/>
      <c r="V98" s="2">
        <f t="shared" si="76"/>
        <v>217</v>
      </c>
      <c r="W98" s="10"/>
      <c r="X98" s="13">
        <f t="shared" si="77"/>
        <v>228</v>
      </c>
      <c r="Y98" s="10"/>
      <c r="Z98" s="14">
        <f t="shared" si="86"/>
        <v>110</v>
      </c>
      <c r="AA98" s="14">
        <f t="shared" si="89"/>
        <v>167</v>
      </c>
      <c r="AB98" s="2">
        <f t="shared" si="78"/>
        <v>277</v>
      </c>
      <c r="AC98" s="2">
        <f t="shared" si="79"/>
        <v>49</v>
      </c>
      <c r="AE98" s="9" t="s">
        <v>32</v>
      </c>
      <c r="AF98" s="2">
        <v>289</v>
      </c>
      <c r="AG98" s="99">
        <f>ROUND(Load!$F$43+'2022'!$E$110*0.485/744,0)</f>
        <v>156</v>
      </c>
      <c r="AH98" s="2">
        <f t="shared" si="80"/>
        <v>445</v>
      </c>
      <c r="AI98" s="9" t="s">
        <v>32</v>
      </c>
      <c r="AJ98" s="2">
        <f>'Hoover with 30 MW Solar'!$D$39</f>
        <v>32</v>
      </c>
      <c r="AK98" s="2">
        <v>35</v>
      </c>
      <c r="AL98" s="314"/>
      <c r="AM98" s="77"/>
      <c r="AN98" s="78"/>
      <c r="AO98" s="78">
        <v>100</v>
      </c>
      <c r="AP98" s="78">
        <v>50</v>
      </c>
      <c r="AQ98" s="78">
        <v>75</v>
      </c>
      <c r="AR98" s="78"/>
      <c r="AS98" s="108"/>
      <c r="AT98" s="108"/>
      <c r="AU98" s="108"/>
      <c r="AV98" s="108"/>
      <c r="AW98" s="108"/>
      <c r="AX98" s="108"/>
      <c r="AY98" s="109"/>
      <c r="AZ98" s="2">
        <f t="shared" si="81"/>
        <v>292</v>
      </c>
      <c r="BA98" s="10"/>
      <c r="BB98" s="13">
        <f t="shared" si="82"/>
        <v>153</v>
      </c>
      <c r="BC98" s="10"/>
      <c r="BD98" s="14">
        <f t="shared" si="83"/>
        <v>110</v>
      </c>
      <c r="BE98" s="14">
        <f t="shared" si="88"/>
        <v>217</v>
      </c>
      <c r="BF98" s="2">
        <f t="shared" si="84"/>
        <v>327</v>
      </c>
      <c r="BG98" s="2">
        <f t="shared" si="85"/>
        <v>174</v>
      </c>
    </row>
    <row r="99" spans="1:59" x14ac:dyDescent="0.3">
      <c r="A99" s="9" t="s">
        <v>33</v>
      </c>
      <c r="B99" s="314">
        <v>289</v>
      </c>
      <c r="C99" s="99">
        <f>ROUND(Load!$F$43+'2022'!$E$110*0.485/744,0)</f>
        <v>156</v>
      </c>
      <c r="D99" s="2">
        <f t="shared" si="75"/>
        <v>445</v>
      </c>
      <c r="E99" s="9" t="s">
        <v>33</v>
      </c>
      <c r="F99" s="2">
        <f>'Hoover with 30 MW Solar'!$D$39</f>
        <v>32</v>
      </c>
      <c r="G99" s="2">
        <v>35</v>
      </c>
      <c r="H99" s="2"/>
      <c r="I99" s="77"/>
      <c r="J99" s="78"/>
      <c r="K99" s="78">
        <v>100</v>
      </c>
      <c r="L99" s="78"/>
      <c r="M99" s="78">
        <v>50</v>
      </c>
      <c r="N99" s="78"/>
      <c r="O99" s="108"/>
      <c r="P99" s="108"/>
      <c r="Q99" s="108"/>
      <c r="R99" s="108"/>
      <c r="S99" s="108"/>
      <c r="T99" s="108"/>
      <c r="U99" s="109"/>
      <c r="V99" s="2">
        <f t="shared" si="76"/>
        <v>217</v>
      </c>
      <c r="W99" s="10"/>
      <c r="X99" s="13">
        <f t="shared" si="77"/>
        <v>228</v>
      </c>
      <c r="Y99" s="10"/>
      <c r="Z99" s="14">
        <f t="shared" si="86"/>
        <v>110</v>
      </c>
      <c r="AA99" s="14">
        <f t="shared" si="89"/>
        <v>167</v>
      </c>
      <c r="AB99" s="2">
        <f t="shared" si="78"/>
        <v>277</v>
      </c>
      <c r="AC99" s="2">
        <f t="shared" si="79"/>
        <v>49</v>
      </c>
      <c r="AE99" s="9" t="s">
        <v>33</v>
      </c>
      <c r="AF99" s="2">
        <v>289</v>
      </c>
      <c r="AG99" s="99">
        <f>ROUND(Load!$F$43+'2022'!$E$110*0.485/744,0)</f>
        <v>156</v>
      </c>
      <c r="AH99" s="2">
        <f t="shared" si="80"/>
        <v>445</v>
      </c>
      <c r="AI99" s="9" t="s">
        <v>33</v>
      </c>
      <c r="AJ99" s="2">
        <f>'Hoover with 30 MW Solar'!$D$39</f>
        <v>32</v>
      </c>
      <c r="AK99" s="2">
        <v>35</v>
      </c>
      <c r="AL99" s="314"/>
      <c r="AM99" s="77"/>
      <c r="AN99" s="78"/>
      <c r="AO99" s="78">
        <v>100</v>
      </c>
      <c r="AP99" s="78">
        <v>50</v>
      </c>
      <c r="AQ99" s="78">
        <v>75</v>
      </c>
      <c r="AR99" s="78"/>
      <c r="AS99" s="108"/>
      <c r="AT99" s="108"/>
      <c r="AU99" s="108"/>
      <c r="AV99" s="108"/>
      <c r="AW99" s="108"/>
      <c r="AX99" s="108"/>
      <c r="AY99" s="109"/>
      <c r="AZ99" s="2">
        <f t="shared" si="81"/>
        <v>292</v>
      </c>
      <c r="BA99" s="10"/>
      <c r="BB99" s="13">
        <f t="shared" si="82"/>
        <v>153</v>
      </c>
      <c r="BC99" s="10"/>
      <c r="BD99" s="14">
        <f t="shared" si="83"/>
        <v>110</v>
      </c>
      <c r="BE99" s="14">
        <f t="shared" si="88"/>
        <v>217</v>
      </c>
      <c r="BF99" s="2">
        <f t="shared" si="84"/>
        <v>327</v>
      </c>
      <c r="BG99" s="2">
        <f t="shared" si="85"/>
        <v>174</v>
      </c>
    </row>
    <row r="100" spans="1:59" x14ac:dyDescent="0.3">
      <c r="A100" s="9" t="s">
        <v>34</v>
      </c>
      <c r="B100" s="314">
        <v>289</v>
      </c>
      <c r="C100" s="99">
        <f>ROUND(Load!$F$43+'2022'!$E$110*0.485/744,0)</f>
        <v>156</v>
      </c>
      <c r="D100" s="2">
        <f t="shared" si="75"/>
        <v>445</v>
      </c>
      <c r="E100" s="9" t="s">
        <v>34</v>
      </c>
      <c r="F100" s="2">
        <f>'Hoover with 30 MW Solar'!$D$39</f>
        <v>32</v>
      </c>
      <c r="G100" s="2">
        <v>35</v>
      </c>
      <c r="H100" s="2"/>
      <c r="I100" s="77"/>
      <c r="J100" s="78"/>
      <c r="K100" s="78">
        <v>100</v>
      </c>
      <c r="L100" s="78"/>
      <c r="M100" s="78">
        <v>50</v>
      </c>
      <c r="N100" s="78"/>
      <c r="O100" s="108"/>
      <c r="P100" s="108"/>
      <c r="Q100" s="108"/>
      <c r="R100" s="108"/>
      <c r="S100" s="108"/>
      <c r="T100" s="108"/>
      <c r="U100" s="109"/>
      <c r="V100" s="2">
        <f t="shared" si="76"/>
        <v>217</v>
      </c>
      <c r="W100" s="10"/>
      <c r="X100" s="13">
        <f t="shared" si="77"/>
        <v>228</v>
      </c>
      <c r="Y100" s="10"/>
      <c r="Z100" s="14">
        <f t="shared" si="86"/>
        <v>110</v>
      </c>
      <c r="AA100" s="14">
        <f t="shared" si="89"/>
        <v>167</v>
      </c>
      <c r="AB100" s="2">
        <f t="shared" si="78"/>
        <v>277</v>
      </c>
      <c r="AC100" s="2">
        <f t="shared" si="79"/>
        <v>49</v>
      </c>
      <c r="AE100" s="9" t="s">
        <v>34</v>
      </c>
      <c r="AF100" s="2">
        <v>289</v>
      </c>
      <c r="AG100" s="99">
        <f>ROUND(Load!$F$43+'2022'!$E$110*0.485/744,0)</f>
        <v>156</v>
      </c>
      <c r="AH100" s="2">
        <f t="shared" si="80"/>
        <v>445</v>
      </c>
      <c r="AI100" s="9" t="s">
        <v>34</v>
      </c>
      <c r="AJ100" s="2">
        <f>'Hoover with 30 MW Solar'!$D$39</f>
        <v>32</v>
      </c>
      <c r="AK100" s="2">
        <v>35</v>
      </c>
      <c r="AL100" s="314"/>
      <c r="AM100" s="77"/>
      <c r="AN100" s="78"/>
      <c r="AO100" s="78">
        <v>100</v>
      </c>
      <c r="AP100" s="78">
        <v>50</v>
      </c>
      <c r="AQ100" s="78">
        <v>75</v>
      </c>
      <c r="AR100" s="78"/>
      <c r="AS100" s="108"/>
      <c r="AT100" s="108"/>
      <c r="AU100" s="108"/>
      <c r="AV100" s="108"/>
      <c r="AW100" s="108"/>
      <c r="AX100" s="108"/>
      <c r="AY100" s="109"/>
      <c r="AZ100" s="2">
        <f t="shared" si="81"/>
        <v>292</v>
      </c>
      <c r="BA100" s="10"/>
      <c r="BB100" s="13">
        <f t="shared" si="82"/>
        <v>153</v>
      </c>
      <c r="BC100" s="10"/>
      <c r="BD100" s="14">
        <f t="shared" si="83"/>
        <v>110</v>
      </c>
      <c r="BE100" s="14">
        <f t="shared" si="88"/>
        <v>217</v>
      </c>
      <c r="BF100" s="2">
        <f t="shared" si="84"/>
        <v>327</v>
      </c>
      <c r="BG100" s="2">
        <f t="shared" si="85"/>
        <v>174</v>
      </c>
    </row>
    <row r="101" spans="1:59" x14ac:dyDescent="0.3">
      <c r="A101" s="9" t="s">
        <v>35</v>
      </c>
      <c r="B101" s="314"/>
      <c r="C101" s="99">
        <f>ROUND(Load!$F$43+'2022'!$E$110*0.485/744,0)</f>
        <v>156</v>
      </c>
      <c r="D101" s="2">
        <f t="shared" si="75"/>
        <v>156</v>
      </c>
      <c r="E101" s="9" t="s">
        <v>35</v>
      </c>
      <c r="F101" s="2">
        <f>'Hoover with 30 MW Solar'!$D$39</f>
        <v>32</v>
      </c>
      <c r="G101" s="2">
        <v>35</v>
      </c>
      <c r="H101" s="2"/>
      <c r="I101" s="77"/>
      <c r="J101" s="78"/>
      <c r="K101" s="78">
        <v>100</v>
      </c>
      <c r="L101" s="78"/>
      <c r="M101" s="78">
        <v>50</v>
      </c>
      <c r="N101" s="78"/>
      <c r="O101" s="108"/>
      <c r="P101" s="108"/>
      <c r="Q101" s="108"/>
      <c r="R101" s="108"/>
      <c r="S101" s="108"/>
      <c r="T101" s="108"/>
      <c r="U101" s="109"/>
      <c r="V101" s="2">
        <f t="shared" si="76"/>
        <v>217</v>
      </c>
      <c r="W101" s="10"/>
      <c r="X101" s="13">
        <f t="shared" si="77"/>
        <v>-61</v>
      </c>
      <c r="Y101" s="10"/>
      <c r="Z101" s="14">
        <f t="shared" si="86"/>
        <v>110</v>
      </c>
      <c r="AA101" s="14">
        <f t="shared" si="89"/>
        <v>167</v>
      </c>
      <c r="AB101" s="2">
        <f t="shared" si="78"/>
        <v>277</v>
      </c>
      <c r="AC101" s="2">
        <f t="shared" si="79"/>
        <v>338</v>
      </c>
      <c r="AE101" s="9" t="s">
        <v>35</v>
      </c>
      <c r="AF101" s="2"/>
      <c r="AG101" s="99">
        <f>ROUND(Load!$F$43+'2022'!$E$110*0.485/744,0)</f>
        <v>156</v>
      </c>
      <c r="AH101" s="2">
        <f t="shared" si="80"/>
        <v>156</v>
      </c>
      <c r="AI101" s="9" t="s">
        <v>35</v>
      </c>
      <c r="AJ101" s="2">
        <f>'Hoover with 30 MW Solar'!$D$39</f>
        <v>32</v>
      </c>
      <c r="AK101" s="2">
        <v>35</v>
      </c>
      <c r="AL101" s="314"/>
      <c r="AM101" s="77"/>
      <c r="AN101" s="78"/>
      <c r="AO101" s="78">
        <v>100</v>
      </c>
      <c r="AP101" s="78">
        <v>50</v>
      </c>
      <c r="AQ101" s="78">
        <v>75</v>
      </c>
      <c r="AR101" s="78"/>
      <c r="AS101" s="108"/>
      <c r="AT101" s="108"/>
      <c r="AU101" s="108"/>
      <c r="AV101" s="108"/>
      <c r="AW101" s="108"/>
      <c r="AX101" s="108"/>
      <c r="AY101" s="109"/>
      <c r="AZ101" s="2">
        <f t="shared" si="81"/>
        <v>292</v>
      </c>
      <c r="BA101" s="10"/>
      <c r="BB101" s="13">
        <f t="shared" si="82"/>
        <v>-136</v>
      </c>
      <c r="BC101" s="10"/>
      <c r="BD101" s="14">
        <f t="shared" si="83"/>
        <v>110</v>
      </c>
      <c r="BE101" s="14">
        <f t="shared" si="88"/>
        <v>217</v>
      </c>
      <c r="BF101" s="2">
        <f t="shared" si="84"/>
        <v>327</v>
      </c>
      <c r="BG101" s="2">
        <f t="shared" si="85"/>
        <v>463</v>
      </c>
    </row>
    <row r="102" spans="1:59" x14ac:dyDescent="0.3">
      <c r="A102" s="9" t="s">
        <v>36</v>
      </c>
      <c r="B102" s="314"/>
      <c r="C102" s="99">
        <f>ROUND(Load!$F$43+'2022'!$E$110*0.485/744,0)</f>
        <v>156</v>
      </c>
      <c r="D102" s="2">
        <f t="shared" si="75"/>
        <v>156</v>
      </c>
      <c r="E102" s="9" t="s">
        <v>36</v>
      </c>
      <c r="F102" s="2">
        <f>'Hoover with 30 MW Solar'!$D$39</f>
        <v>32</v>
      </c>
      <c r="G102" s="2">
        <v>35</v>
      </c>
      <c r="H102" s="2">
        <v>31</v>
      </c>
      <c r="I102" s="77"/>
      <c r="J102" s="78"/>
      <c r="K102" s="78">
        <v>100</v>
      </c>
      <c r="L102" s="78"/>
      <c r="M102" s="78">
        <v>50</v>
      </c>
      <c r="N102" s="78"/>
      <c r="O102" s="108"/>
      <c r="P102" s="108"/>
      <c r="Q102" s="108"/>
      <c r="R102" s="108"/>
      <c r="S102" s="108"/>
      <c r="T102" s="108"/>
      <c r="U102" s="109"/>
      <c r="V102" s="2">
        <f t="shared" si="76"/>
        <v>248</v>
      </c>
      <c r="W102" s="10"/>
      <c r="X102" s="13">
        <f t="shared" si="77"/>
        <v>-92</v>
      </c>
      <c r="Y102" s="10"/>
      <c r="Z102" s="14">
        <f t="shared" si="86"/>
        <v>79</v>
      </c>
      <c r="AA102" s="14">
        <f t="shared" si="89"/>
        <v>167</v>
      </c>
      <c r="AB102" s="2">
        <f t="shared" si="78"/>
        <v>246</v>
      </c>
      <c r="AC102" s="2">
        <f t="shared" si="79"/>
        <v>338</v>
      </c>
      <c r="AE102" s="9" t="s">
        <v>36</v>
      </c>
      <c r="AF102" s="2"/>
      <c r="AG102" s="99">
        <f>ROUND(Load!$F$43+'2022'!$E$110*0.485/744,0)</f>
        <v>156</v>
      </c>
      <c r="AH102" s="2">
        <f t="shared" si="80"/>
        <v>156</v>
      </c>
      <c r="AI102" s="9" t="s">
        <v>36</v>
      </c>
      <c r="AJ102" s="2">
        <f>'Hoover with 30 MW Solar'!$D$39</f>
        <v>32</v>
      </c>
      <c r="AK102" s="2">
        <v>35</v>
      </c>
      <c r="AL102" s="314">
        <v>31</v>
      </c>
      <c r="AM102" s="77"/>
      <c r="AN102" s="78"/>
      <c r="AO102" s="78">
        <v>100</v>
      </c>
      <c r="AP102" s="78">
        <v>50</v>
      </c>
      <c r="AQ102" s="78">
        <v>75</v>
      </c>
      <c r="AR102" s="78"/>
      <c r="AS102" s="108"/>
      <c r="AT102" s="108"/>
      <c r="AU102" s="108"/>
      <c r="AV102" s="108"/>
      <c r="AW102" s="108"/>
      <c r="AX102" s="108"/>
      <c r="AY102" s="109"/>
      <c r="AZ102" s="2">
        <f t="shared" si="81"/>
        <v>323</v>
      </c>
      <c r="BA102" s="10"/>
      <c r="BB102" s="13">
        <f t="shared" si="82"/>
        <v>-167</v>
      </c>
      <c r="BC102" s="10"/>
      <c r="BD102" s="14">
        <f t="shared" si="83"/>
        <v>79</v>
      </c>
      <c r="BE102" s="14">
        <f t="shared" si="88"/>
        <v>217</v>
      </c>
      <c r="BF102" s="2">
        <f t="shared" si="84"/>
        <v>296</v>
      </c>
      <c r="BG102" s="2">
        <f t="shared" si="85"/>
        <v>463</v>
      </c>
    </row>
    <row r="103" spans="1:59" x14ac:dyDescent="0.3">
      <c r="A103" s="9" t="s">
        <v>37</v>
      </c>
      <c r="B103" s="314"/>
      <c r="C103" s="99">
        <f>ROUND(Load!$F$43+'2022'!$E$110*0.485/744,0)</f>
        <v>156</v>
      </c>
      <c r="D103" s="2">
        <f t="shared" si="75"/>
        <v>156</v>
      </c>
      <c r="E103" s="9" t="s">
        <v>37</v>
      </c>
      <c r="F103" s="2">
        <f>'Hoover with 30 MW Solar'!$D$39</f>
        <v>32</v>
      </c>
      <c r="G103" s="2">
        <v>35</v>
      </c>
      <c r="H103" s="2">
        <v>32</v>
      </c>
      <c r="I103" s="77"/>
      <c r="J103" s="78"/>
      <c r="K103" s="78">
        <v>100</v>
      </c>
      <c r="L103" s="78"/>
      <c r="M103" s="78">
        <v>50</v>
      </c>
      <c r="N103" s="78"/>
      <c r="O103" s="108"/>
      <c r="P103" s="108"/>
      <c r="Q103" s="108"/>
      <c r="R103" s="108"/>
      <c r="S103" s="108"/>
      <c r="T103" s="108"/>
      <c r="U103" s="109"/>
      <c r="V103" s="2">
        <f t="shared" si="76"/>
        <v>249</v>
      </c>
      <c r="W103" s="10"/>
      <c r="X103" s="13">
        <f t="shared" si="77"/>
        <v>-93</v>
      </c>
      <c r="Y103" s="10"/>
      <c r="Z103" s="14">
        <f t="shared" si="86"/>
        <v>78</v>
      </c>
      <c r="AA103" s="14">
        <f t="shared" si="89"/>
        <v>167</v>
      </c>
      <c r="AB103" s="2">
        <f t="shared" si="78"/>
        <v>245</v>
      </c>
      <c r="AC103" s="2">
        <f t="shared" si="79"/>
        <v>338</v>
      </c>
      <c r="AE103" s="9" t="s">
        <v>37</v>
      </c>
      <c r="AF103" s="2"/>
      <c r="AG103" s="99">
        <f>ROUND(Load!$F$43+'2022'!$E$110*0.485/744,0)</f>
        <v>156</v>
      </c>
      <c r="AH103" s="2">
        <f t="shared" si="80"/>
        <v>156</v>
      </c>
      <c r="AI103" s="9" t="s">
        <v>37</v>
      </c>
      <c r="AJ103" s="2">
        <f>'Hoover with 30 MW Solar'!$D$39</f>
        <v>32</v>
      </c>
      <c r="AK103" s="2">
        <v>35</v>
      </c>
      <c r="AL103" s="314">
        <v>32</v>
      </c>
      <c r="AM103" s="77"/>
      <c r="AN103" s="78"/>
      <c r="AO103" s="78">
        <v>100</v>
      </c>
      <c r="AP103" s="78">
        <v>50</v>
      </c>
      <c r="AQ103" s="78">
        <v>75</v>
      </c>
      <c r="AR103" s="78"/>
      <c r="AS103" s="108"/>
      <c r="AT103" s="108"/>
      <c r="AU103" s="108"/>
      <c r="AV103" s="108"/>
      <c r="AW103" s="108"/>
      <c r="AX103" s="108"/>
      <c r="AY103" s="109"/>
      <c r="AZ103" s="2">
        <f t="shared" si="81"/>
        <v>324</v>
      </c>
      <c r="BA103" s="10"/>
      <c r="BB103" s="13">
        <f t="shared" si="82"/>
        <v>-168</v>
      </c>
      <c r="BC103" s="10"/>
      <c r="BD103" s="14">
        <f t="shared" si="83"/>
        <v>78</v>
      </c>
      <c r="BE103" s="14">
        <f t="shared" si="88"/>
        <v>217</v>
      </c>
      <c r="BF103" s="2">
        <f t="shared" si="84"/>
        <v>295</v>
      </c>
      <c r="BG103" s="2">
        <f t="shared" si="85"/>
        <v>463</v>
      </c>
    </row>
    <row r="104" spans="1:59" x14ac:dyDescent="0.3">
      <c r="A104" s="9" t="s">
        <v>38</v>
      </c>
      <c r="B104" s="314"/>
      <c r="C104" s="99">
        <f>ROUND(Load!$F$43+'2022'!$E$110*0.485/744,0)</f>
        <v>156</v>
      </c>
      <c r="D104" s="2">
        <f t="shared" si="75"/>
        <v>156</v>
      </c>
      <c r="E104" s="9" t="s">
        <v>38</v>
      </c>
      <c r="F104" s="2">
        <f>'Hoover with 30 MW Solar'!$D$39</f>
        <v>32</v>
      </c>
      <c r="G104" s="2">
        <v>35</v>
      </c>
      <c r="H104" s="2">
        <v>32</v>
      </c>
      <c r="I104" s="77"/>
      <c r="J104" s="78"/>
      <c r="K104" s="78">
        <v>100</v>
      </c>
      <c r="L104" s="78"/>
      <c r="M104" s="78">
        <v>50</v>
      </c>
      <c r="N104" s="78"/>
      <c r="O104" s="108"/>
      <c r="P104" s="108"/>
      <c r="Q104" s="108"/>
      <c r="R104" s="108"/>
      <c r="S104" s="108"/>
      <c r="T104" s="108"/>
      <c r="U104" s="109"/>
      <c r="V104" s="2">
        <f t="shared" si="76"/>
        <v>249</v>
      </c>
      <c r="W104" s="10"/>
      <c r="X104" s="13">
        <f t="shared" si="77"/>
        <v>-93</v>
      </c>
      <c r="Y104" s="10"/>
      <c r="Z104" s="14">
        <f t="shared" si="86"/>
        <v>78</v>
      </c>
      <c r="AA104" s="14">
        <f t="shared" si="89"/>
        <v>167</v>
      </c>
      <c r="AB104" s="2">
        <f t="shared" si="78"/>
        <v>245</v>
      </c>
      <c r="AC104" s="2">
        <f t="shared" si="79"/>
        <v>338</v>
      </c>
      <c r="AE104" s="9" t="s">
        <v>38</v>
      </c>
      <c r="AF104" s="2"/>
      <c r="AG104" s="99">
        <f>ROUND(Load!$F$43+'2022'!$E$110*0.485/744,0)</f>
        <v>156</v>
      </c>
      <c r="AH104" s="2">
        <f t="shared" si="80"/>
        <v>156</v>
      </c>
      <c r="AI104" s="9" t="s">
        <v>38</v>
      </c>
      <c r="AJ104" s="2">
        <f>'Hoover with 30 MW Solar'!$D$39</f>
        <v>32</v>
      </c>
      <c r="AK104" s="2">
        <v>35</v>
      </c>
      <c r="AL104" s="314">
        <v>32</v>
      </c>
      <c r="AM104" s="77"/>
      <c r="AN104" s="78"/>
      <c r="AO104" s="78">
        <v>100</v>
      </c>
      <c r="AP104" s="78">
        <v>50</v>
      </c>
      <c r="AQ104" s="78">
        <v>75</v>
      </c>
      <c r="AR104" s="78"/>
      <c r="AS104" s="108"/>
      <c r="AT104" s="108"/>
      <c r="AU104" s="108"/>
      <c r="AV104" s="108"/>
      <c r="AW104" s="108"/>
      <c r="AX104" s="108"/>
      <c r="AY104" s="109"/>
      <c r="AZ104" s="2">
        <f t="shared" si="81"/>
        <v>324</v>
      </c>
      <c r="BA104" s="10"/>
      <c r="BB104" s="13">
        <f t="shared" si="82"/>
        <v>-168</v>
      </c>
      <c r="BC104" s="10"/>
      <c r="BD104" s="14">
        <f t="shared" si="83"/>
        <v>78</v>
      </c>
      <c r="BE104" s="14">
        <f t="shared" si="88"/>
        <v>217</v>
      </c>
      <c r="BF104" s="2">
        <f t="shared" si="84"/>
        <v>295</v>
      </c>
      <c r="BG104" s="2">
        <f t="shared" si="85"/>
        <v>463</v>
      </c>
    </row>
    <row r="105" spans="1:59" x14ac:dyDescent="0.3">
      <c r="A105" s="9" t="s">
        <v>39</v>
      </c>
      <c r="B105" s="314"/>
      <c r="C105" s="99">
        <f>ROUND(Load!$F$43+'2022'!$E$110*0.485/744,0)</f>
        <v>156</v>
      </c>
      <c r="D105" s="2">
        <f t="shared" si="75"/>
        <v>156</v>
      </c>
      <c r="E105" s="9" t="s">
        <v>39</v>
      </c>
      <c r="F105" s="2">
        <f>'Hoover with 30 MW Solar'!$D$39</f>
        <v>32</v>
      </c>
      <c r="G105" s="2">
        <v>35</v>
      </c>
      <c r="H105" s="2">
        <v>32</v>
      </c>
      <c r="I105" s="77"/>
      <c r="J105" s="78"/>
      <c r="K105" s="78">
        <v>100</v>
      </c>
      <c r="L105" s="78"/>
      <c r="M105" s="78">
        <v>50</v>
      </c>
      <c r="N105" s="78"/>
      <c r="O105" s="108"/>
      <c r="P105" s="108"/>
      <c r="Q105" s="108"/>
      <c r="R105" s="108"/>
      <c r="S105" s="108"/>
      <c r="T105" s="108"/>
      <c r="U105" s="109"/>
      <c r="V105" s="2">
        <f t="shared" si="76"/>
        <v>249</v>
      </c>
      <c r="W105" s="10"/>
      <c r="X105" s="13">
        <f t="shared" si="77"/>
        <v>-93</v>
      </c>
      <c r="Y105" s="10"/>
      <c r="Z105" s="14">
        <f t="shared" si="86"/>
        <v>78</v>
      </c>
      <c r="AA105" s="14">
        <f t="shared" si="89"/>
        <v>167</v>
      </c>
      <c r="AB105" s="2">
        <f t="shared" si="78"/>
        <v>245</v>
      </c>
      <c r="AC105" s="2">
        <f t="shared" si="79"/>
        <v>338</v>
      </c>
      <c r="AE105" s="9" t="s">
        <v>39</v>
      </c>
      <c r="AF105" s="2"/>
      <c r="AG105" s="99">
        <f>ROUND(Load!$F$43+'2022'!$E$110*0.485/744,0)</f>
        <v>156</v>
      </c>
      <c r="AH105" s="2">
        <f t="shared" si="80"/>
        <v>156</v>
      </c>
      <c r="AI105" s="9" t="s">
        <v>39</v>
      </c>
      <c r="AJ105" s="2">
        <f>'Hoover with 30 MW Solar'!$D$39</f>
        <v>32</v>
      </c>
      <c r="AK105" s="2">
        <v>35</v>
      </c>
      <c r="AL105" s="314">
        <v>32</v>
      </c>
      <c r="AM105" s="77"/>
      <c r="AN105" s="78"/>
      <c r="AO105" s="78">
        <v>100</v>
      </c>
      <c r="AP105" s="78">
        <v>50</v>
      </c>
      <c r="AQ105" s="78">
        <v>75</v>
      </c>
      <c r="AR105" s="78"/>
      <c r="AS105" s="108"/>
      <c r="AT105" s="108"/>
      <c r="AU105" s="108"/>
      <c r="AV105" s="108"/>
      <c r="AW105" s="108"/>
      <c r="AX105" s="108"/>
      <c r="AY105" s="109"/>
      <c r="AZ105" s="2">
        <f t="shared" si="81"/>
        <v>324</v>
      </c>
      <c r="BA105" s="10"/>
      <c r="BB105" s="13">
        <f t="shared" si="82"/>
        <v>-168</v>
      </c>
      <c r="BC105" s="10"/>
      <c r="BD105" s="14">
        <f t="shared" si="83"/>
        <v>78</v>
      </c>
      <c r="BE105" s="14">
        <f t="shared" si="88"/>
        <v>217</v>
      </c>
      <c r="BF105" s="2">
        <f t="shared" si="84"/>
        <v>295</v>
      </c>
      <c r="BG105" s="2">
        <f t="shared" si="85"/>
        <v>463</v>
      </c>
    </row>
    <row r="106" spans="1:59" x14ac:dyDescent="0.3">
      <c r="A106" s="9" t="s">
        <v>40</v>
      </c>
      <c r="B106" s="314"/>
      <c r="C106" s="99">
        <f>ROUND(Load!$F$43+'2022'!$E$110*0.485/744,0)</f>
        <v>156</v>
      </c>
      <c r="D106" s="2">
        <f t="shared" si="75"/>
        <v>156</v>
      </c>
      <c r="E106" s="9" t="s">
        <v>40</v>
      </c>
      <c r="F106" s="2">
        <f>'Hoover with 30 MW Solar'!$D$39</f>
        <v>32</v>
      </c>
      <c r="G106" s="2">
        <v>35</v>
      </c>
      <c r="H106" s="2">
        <v>31</v>
      </c>
      <c r="I106" s="77"/>
      <c r="J106" s="78"/>
      <c r="K106" s="78">
        <v>100</v>
      </c>
      <c r="L106" s="78"/>
      <c r="M106" s="78">
        <v>50</v>
      </c>
      <c r="N106" s="78"/>
      <c r="O106" s="108"/>
      <c r="P106" s="108"/>
      <c r="Q106" s="108"/>
      <c r="R106" s="108"/>
      <c r="S106" s="108"/>
      <c r="T106" s="108"/>
      <c r="U106" s="109"/>
      <c r="V106" s="2">
        <f t="shared" si="76"/>
        <v>248</v>
      </c>
      <c r="W106" s="10"/>
      <c r="X106" s="13">
        <f t="shared" si="77"/>
        <v>-92</v>
      </c>
      <c r="Y106" s="10"/>
      <c r="Z106" s="14">
        <f t="shared" si="86"/>
        <v>79</v>
      </c>
      <c r="AA106" s="14">
        <f t="shared" si="89"/>
        <v>167</v>
      </c>
      <c r="AB106" s="2">
        <f t="shared" si="78"/>
        <v>246</v>
      </c>
      <c r="AC106" s="2">
        <f t="shared" si="79"/>
        <v>338</v>
      </c>
      <c r="AE106" s="9" t="s">
        <v>40</v>
      </c>
      <c r="AF106" s="2"/>
      <c r="AG106" s="99">
        <f>ROUND(Load!$F$43+'2022'!$E$110*0.485/744,0)</f>
        <v>156</v>
      </c>
      <c r="AH106" s="2">
        <f t="shared" si="80"/>
        <v>156</v>
      </c>
      <c r="AI106" s="9" t="s">
        <v>40</v>
      </c>
      <c r="AJ106" s="2">
        <f>'Hoover with 30 MW Solar'!$D$39</f>
        <v>32</v>
      </c>
      <c r="AK106" s="2">
        <v>35</v>
      </c>
      <c r="AL106" s="314">
        <v>31</v>
      </c>
      <c r="AM106" s="77"/>
      <c r="AN106" s="78"/>
      <c r="AO106" s="78">
        <v>100</v>
      </c>
      <c r="AP106" s="78">
        <v>50</v>
      </c>
      <c r="AQ106" s="78">
        <v>75</v>
      </c>
      <c r="AR106" s="78"/>
      <c r="AS106" s="108"/>
      <c r="AT106" s="108"/>
      <c r="AU106" s="108"/>
      <c r="AV106" s="108"/>
      <c r="AW106" s="108"/>
      <c r="AX106" s="108"/>
      <c r="AY106" s="109"/>
      <c r="AZ106" s="2">
        <f t="shared" si="81"/>
        <v>323</v>
      </c>
      <c r="BA106" s="10"/>
      <c r="BB106" s="13">
        <f t="shared" si="82"/>
        <v>-167</v>
      </c>
      <c r="BC106" s="10"/>
      <c r="BD106" s="14">
        <f t="shared" si="83"/>
        <v>79</v>
      </c>
      <c r="BE106" s="14">
        <f t="shared" si="88"/>
        <v>217</v>
      </c>
      <c r="BF106" s="2">
        <f t="shared" si="84"/>
        <v>296</v>
      </c>
      <c r="BG106" s="2">
        <f t="shared" si="85"/>
        <v>463</v>
      </c>
    </row>
    <row r="107" spans="1:59" x14ac:dyDescent="0.3">
      <c r="A107" s="9" t="s">
        <v>41</v>
      </c>
      <c r="B107" s="314">
        <v>241</v>
      </c>
      <c r="C107" s="99">
        <f>ROUND(Load!$F$43+'2022'!$E$110*0.485/744,0)</f>
        <v>156</v>
      </c>
      <c r="D107" s="2">
        <f t="shared" si="75"/>
        <v>397</v>
      </c>
      <c r="E107" s="9" t="s">
        <v>41</v>
      </c>
      <c r="F107" s="2"/>
      <c r="G107" s="2">
        <v>35</v>
      </c>
      <c r="H107" s="2"/>
      <c r="I107" s="77">
        <v>25</v>
      </c>
      <c r="J107" s="78">
        <v>100</v>
      </c>
      <c r="K107" s="78"/>
      <c r="L107" s="78">
        <v>50</v>
      </c>
      <c r="M107" s="78"/>
      <c r="N107" s="78">
        <v>75</v>
      </c>
      <c r="O107" s="108"/>
      <c r="P107" s="108"/>
      <c r="Q107" s="108"/>
      <c r="R107" s="108"/>
      <c r="S107" s="108"/>
      <c r="T107" s="108"/>
      <c r="U107" s="109"/>
      <c r="V107" s="2">
        <f t="shared" si="76"/>
        <v>285</v>
      </c>
      <c r="W107" s="10"/>
      <c r="X107" s="11">
        <f t="shared" si="77"/>
        <v>112</v>
      </c>
      <c r="Y107" s="10"/>
      <c r="Z107" s="12">
        <f t="shared" si="86"/>
        <v>142</v>
      </c>
      <c r="AA107" s="12">
        <f t="shared" ref="AA107:AA108" si="90">342-I107-L107-M107-N107</f>
        <v>192</v>
      </c>
      <c r="AB107" s="2">
        <f t="shared" si="78"/>
        <v>334</v>
      </c>
      <c r="AC107" s="2">
        <f t="shared" si="79"/>
        <v>222</v>
      </c>
      <c r="AE107" s="9" t="s">
        <v>41</v>
      </c>
      <c r="AF107" s="2">
        <v>241</v>
      </c>
      <c r="AG107" s="99">
        <f>ROUND(Load!$F$43+'2022'!$E$110*0.485/744,0)</f>
        <v>156</v>
      </c>
      <c r="AH107" s="2">
        <f t="shared" si="80"/>
        <v>397</v>
      </c>
      <c r="AI107" s="9" t="s">
        <v>41</v>
      </c>
      <c r="AJ107" s="2"/>
      <c r="AK107" s="2">
        <v>35</v>
      </c>
      <c r="AL107" s="314"/>
      <c r="AM107" s="77">
        <v>25</v>
      </c>
      <c r="AN107" s="78">
        <v>100</v>
      </c>
      <c r="AO107" s="78"/>
      <c r="AP107" s="78">
        <v>50</v>
      </c>
      <c r="AQ107" s="78">
        <v>75</v>
      </c>
      <c r="AR107" s="78"/>
      <c r="AS107" s="108"/>
      <c r="AT107" s="108"/>
      <c r="AU107" s="108"/>
      <c r="AV107" s="108"/>
      <c r="AW107" s="108"/>
      <c r="AX107" s="108"/>
      <c r="AY107" s="109"/>
      <c r="AZ107" s="2">
        <f t="shared" si="81"/>
        <v>285</v>
      </c>
      <c r="BA107" s="10"/>
      <c r="BB107" s="11">
        <f t="shared" si="82"/>
        <v>112</v>
      </c>
      <c r="BC107" s="10"/>
      <c r="BD107" s="12">
        <f t="shared" si="83"/>
        <v>142</v>
      </c>
      <c r="BE107" s="12">
        <f t="shared" si="88"/>
        <v>192</v>
      </c>
      <c r="BF107" s="2">
        <f t="shared" si="84"/>
        <v>334</v>
      </c>
      <c r="BG107" s="2">
        <f t="shared" si="85"/>
        <v>222</v>
      </c>
    </row>
    <row r="108" spans="1:59" ht="15" thickBot="1" x14ac:dyDescent="0.35">
      <c r="A108" s="15" t="s">
        <v>42</v>
      </c>
      <c r="B108" s="16">
        <v>241</v>
      </c>
      <c r="C108" s="123">
        <f>ROUND(Load!$F$43+'2022'!$E$110*0.485/744,0)</f>
        <v>156</v>
      </c>
      <c r="D108" s="16">
        <f t="shared" si="75"/>
        <v>397</v>
      </c>
      <c r="E108" s="15" t="s">
        <v>42</v>
      </c>
      <c r="F108" s="16"/>
      <c r="G108" s="16">
        <v>35</v>
      </c>
      <c r="H108" s="16"/>
      <c r="I108" s="75">
        <v>25</v>
      </c>
      <c r="J108" s="76">
        <v>100</v>
      </c>
      <c r="K108" s="76"/>
      <c r="L108" s="76">
        <v>50</v>
      </c>
      <c r="M108" s="76"/>
      <c r="N108" s="76">
        <v>75</v>
      </c>
      <c r="O108" s="106"/>
      <c r="P108" s="106"/>
      <c r="Q108" s="106"/>
      <c r="R108" s="106"/>
      <c r="S108" s="106"/>
      <c r="T108" s="106"/>
      <c r="U108" s="107"/>
      <c r="V108" s="16">
        <f t="shared" si="76"/>
        <v>285</v>
      </c>
      <c r="W108" s="10"/>
      <c r="X108" s="17">
        <f t="shared" si="77"/>
        <v>112</v>
      </c>
      <c r="Y108" s="10"/>
      <c r="Z108" s="18">
        <f t="shared" si="86"/>
        <v>142</v>
      </c>
      <c r="AA108" s="18">
        <f t="shared" si="90"/>
        <v>192</v>
      </c>
      <c r="AB108" s="16">
        <f t="shared" si="78"/>
        <v>334</v>
      </c>
      <c r="AC108" s="16">
        <f t="shared" si="79"/>
        <v>222</v>
      </c>
      <c r="AE108" s="15" t="s">
        <v>42</v>
      </c>
      <c r="AF108" s="16">
        <v>241</v>
      </c>
      <c r="AG108" s="123">
        <f>ROUND(Load!$F$43+'2022'!$E$110*0.485/744,0)</f>
        <v>156</v>
      </c>
      <c r="AH108" s="16">
        <f t="shared" si="80"/>
        <v>397</v>
      </c>
      <c r="AI108" s="15" t="s">
        <v>42</v>
      </c>
      <c r="AJ108" s="16"/>
      <c r="AK108" s="16">
        <v>35</v>
      </c>
      <c r="AL108" s="16"/>
      <c r="AM108" s="75">
        <v>25</v>
      </c>
      <c r="AN108" s="76">
        <v>100</v>
      </c>
      <c r="AO108" s="76"/>
      <c r="AP108" s="76">
        <v>50</v>
      </c>
      <c r="AQ108" s="76">
        <v>75</v>
      </c>
      <c r="AR108" s="76"/>
      <c r="AS108" s="106"/>
      <c r="AT108" s="106"/>
      <c r="AU108" s="106"/>
      <c r="AV108" s="106"/>
      <c r="AW108" s="106"/>
      <c r="AX108" s="106"/>
      <c r="AY108" s="107"/>
      <c r="AZ108" s="16">
        <f t="shared" si="81"/>
        <v>285</v>
      </c>
      <c r="BA108" s="10"/>
      <c r="BB108" s="17">
        <f t="shared" si="82"/>
        <v>112</v>
      </c>
      <c r="BC108" s="10"/>
      <c r="BD108" s="18">
        <f t="shared" si="83"/>
        <v>142</v>
      </c>
      <c r="BE108" s="18">
        <f t="shared" si="88"/>
        <v>192</v>
      </c>
      <c r="BF108" s="16">
        <f t="shared" si="84"/>
        <v>334</v>
      </c>
      <c r="BG108" s="16">
        <f t="shared" si="85"/>
        <v>222</v>
      </c>
    </row>
    <row r="109" spans="1:59" ht="15" thickTop="1" x14ac:dyDescent="0.3">
      <c r="A109" s="2" t="s">
        <v>43</v>
      </c>
      <c r="B109" s="2">
        <f>SUM(B85:B108)</f>
        <v>4240</v>
      </c>
      <c r="C109" s="2">
        <f t="shared" ref="C109:D109" si="91">SUM(C85:C108)</f>
        <v>3744</v>
      </c>
      <c r="D109" s="2">
        <f t="shared" si="91"/>
        <v>7984</v>
      </c>
      <c r="E109" s="327" t="s">
        <v>406</v>
      </c>
      <c r="F109" s="2">
        <f t="shared" ref="F109:H109" si="92">SUM(F85:F108)</f>
        <v>512</v>
      </c>
      <c r="G109" s="2">
        <f t="shared" si="92"/>
        <v>840</v>
      </c>
      <c r="H109" s="2">
        <f t="shared" si="92"/>
        <v>158</v>
      </c>
      <c r="I109" s="2">
        <f>SUM(I85:I108)</f>
        <v>200</v>
      </c>
      <c r="J109" s="2">
        <f t="shared" ref="J109" si="93">SUM(J85:J108)</f>
        <v>800</v>
      </c>
      <c r="K109" s="2">
        <f>SUM(K85:K108)</f>
        <v>1600</v>
      </c>
      <c r="L109" s="2">
        <f>SUM(L85:L108)</f>
        <v>400</v>
      </c>
      <c r="M109" s="2">
        <f>SUM(M85:M108)</f>
        <v>800</v>
      </c>
      <c r="N109" s="2">
        <f>SUM(N85:N108)</f>
        <v>600</v>
      </c>
      <c r="O109" s="2">
        <f t="shared" ref="O109:P109" si="94">SUM(O85:O108)</f>
        <v>0</v>
      </c>
      <c r="P109" s="2">
        <f t="shared" si="94"/>
        <v>0</v>
      </c>
      <c r="Q109" s="2">
        <f t="shared" ref="Q109" si="95">SUM(Q85:Q108)</f>
        <v>0</v>
      </c>
      <c r="R109" s="2">
        <f t="shared" ref="R109" si="96">SUM(R85:R108)</f>
        <v>0</v>
      </c>
      <c r="S109" s="2">
        <f t="shared" ref="S109" si="97">SUM(S85:S108)</f>
        <v>0</v>
      </c>
      <c r="T109" s="2">
        <f t="shared" ref="T109" si="98">SUM(T85:T108)</f>
        <v>0</v>
      </c>
      <c r="U109" s="2">
        <f>SUM(U85:U108)</f>
        <v>0</v>
      </c>
      <c r="V109" s="2">
        <f>SUM(V85:V108)</f>
        <v>5910</v>
      </c>
      <c r="W109" s="10"/>
      <c r="X109" s="19">
        <f>SUM(X85:X108)</f>
        <v>2074</v>
      </c>
      <c r="Y109" s="10"/>
      <c r="Z109" s="19">
        <f>SUM(Z85:Z108)</f>
        <v>2738</v>
      </c>
      <c r="AA109" s="19">
        <f>SUM(AA85:AA108)</f>
        <v>4208</v>
      </c>
      <c r="AB109" s="19">
        <f>SUM(AB85:AB108)</f>
        <v>6946</v>
      </c>
      <c r="AC109" s="19">
        <f>SUM(AC85:AC108)</f>
        <v>4872</v>
      </c>
      <c r="AE109" s="2" t="s">
        <v>43</v>
      </c>
      <c r="AF109" s="2">
        <f>SUM(AF85:AF108)</f>
        <v>4240</v>
      </c>
      <c r="AG109" s="314">
        <f t="shared" ref="AG109" si="99">SUM(AG85:AG108)</f>
        <v>3744</v>
      </c>
      <c r="AH109" s="2">
        <f t="shared" ref="AH109" si="100">SUM(AH85:AH108)</f>
        <v>7984</v>
      </c>
      <c r="AI109" s="92"/>
      <c r="AJ109" s="2">
        <f t="shared" ref="AJ109:AL109" si="101">SUM(AJ85:AJ108)</f>
        <v>512</v>
      </c>
      <c r="AK109" s="2">
        <f t="shared" si="101"/>
        <v>840</v>
      </c>
      <c r="AL109" s="2">
        <f t="shared" si="101"/>
        <v>158</v>
      </c>
      <c r="AM109" s="2">
        <f>SUM(AM85:AM108)</f>
        <v>200</v>
      </c>
      <c r="AN109" s="2">
        <f t="shared" ref="AN109:AO109" si="102">SUM(AN85:AN108)</f>
        <v>800</v>
      </c>
      <c r="AO109" s="2">
        <f t="shared" si="102"/>
        <v>1600</v>
      </c>
      <c r="AP109" s="2">
        <f>SUM(AP85:AP108)</f>
        <v>1200</v>
      </c>
      <c r="AQ109" s="2">
        <f t="shared" ref="AQ109:AY109" si="103">SUM(AQ85:AQ108)</f>
        <v>1800</v>
      </c>
      <c r="AR109" s="2">
        <f t="shared" si="103"/>
        <v>0</v>
      </c>
      <c r="AS109" s="2">
        <f t="shared" si="103"/>
        <v>0</v>
      </c>
      <c r="AT109" s="2">
        <f t="shared" si="103"/>
        <v>0</v>
      </c>
      <c r="AU109" s="2">
        <f t="shared" si="103"/>
        <v>0</v>
      </c>
      <c r="AV109" s="2">
        <f t="shared" si="103"/>
        <v>0</v>
      </c>
      <c r="AW109" s="2">
        <f t="shared" si="103"/>
        <v>0</v>
      </c>
      <c r="AX109" s="2">
        <f t="shared" si="103"/>
        <v>0</v>
      </c>
      <c r="AY109" s="2">
        <f t="shared" si="103"/>
        <v>0</v>
      </c>
      <c r="AZ109" s="2">
        <f>SUM(AZ85:AZ108)</f>
        <v>7110</v>
      </c>
      <c r="BA109" s="10"/>
      <c r="BB109" s="19">
        <f>SUM(BB85:BB108)</f>
        <v>874</v>
      </c>
      <c r="BC109" s="10"/>
      <c r="BD109" s="19">
        <f>SUM(BD85:BD108)</f>
        <v>2738</v>
      </c>
      <c r="BE109" s="19">
        <f>SUM(BE85:BE108)</f>
        <v>5008</v>
      </c>
      <c r="BF109" s="19">
        <f>SUM(BF85:BF108)</f>
        <v>7746</v>
      </c>
      <c r="BG109" s="19">
        <f>SUM(BG85:BG108)</f>
        <v>6872</v>
      </c>
    </row>
    <row r="110" spans="1:59" x14ac:dyDescent="0.3">
      <c r="A110" s="2" t="s">
        <v>44</v>
      </c>
      <c r="B110" s="2">
        <f>B109*(31-$AN82)</f>
        <v>114480</v>
      </c>
      <c r="C110" s="2">
        <f t="shared" ref="C110:D110" si="104">C109*(31-$AN82)</f>
        <v>101088</v>
      </c>
      <c r="D110" s="2">
        <f t="shared" si="104"/>
        <v>215568</v>
      </c>
      <c r="E110" s="328">
        <f>B110+AF110</f>
        <v>131440</v>
      </c>
      <c r="H110" s="124">
        <f>'Hoover with 30 MW Solar'!D44</f>
        <v>158.47028729032255</v>
      </c>
      <c r="I110" s="479" t="s">
        <v>470</v>
      </c>
      <c r="J110" s="2"/>
      <c r="K110" s="2"/>
      <c r="L110" s="2"/>
      <c r="M110" s="2"/>
      <c r="N110" s="2"/>
      <c r="O110" s="2"/>
      <c r="P110" s="2"/>
      <c r="Q110" s="2"/>
      <c r="R110" s="2"/>
      <c r="S110" s="2"/>
      <c r="T110" s="2"/>
      <c r="V110" s="2">
        <f>V109*29</f>
        <v>171390</v>
      </c>
      <c r="W110" s="35" t="s">
        <v>153</v>
      </c>
      <c r="X110" s="87">
        <f>-SUMIF(X85:X108,"&lt;0")</f>
        <v>646</v>
      </c>
      <c r="Y110" s="92">
        <f>X110*(31-AN82)</f>
        <v>17442</v>
      </c>
      <c r="Z110" s="92" t="s">
        <v>217</v>
      </c>
      <c r="AE110" s="2" t="s">
        <v>44</v>
      </c>
      <c r="AF110" s="2">
        <f>AF109*$AN82</f>
        <v>16960</v>
      </c>
      <c r="AG110" s="2">
        <f t="shared" ref="AG110:AH110" si="105">AG109*$AN82</f>
        <v>14976</v>
      </c>
      <c r="AH110" s="2">
        <f t="shared" si="105"/>
        <v>31936</v>
      </c>
      <c r="AI110" s="92"/>
      <c r="AJ110" s="92"/>
      <c r="AK110" s="92"/>
      <c r="AL110" s="124">
        <f>H110</f>
        <v>158.47028729032255</v>
      </c>
      <c r="AM110" s="2"/>
      <c r="AN110" s="2"/>
      <c r="AO110" s="2"/>
      <c r="AP110" s="2"/>
      <c r="AQ110" s="2"/>
      <c r="AR110" s="2"/>
      <c r="AS110" s="2"/>
      <c r="AT110" s="2"/>
      <c r="AU110" s="92"/>
      <c r="AV110" s="92"/>
      <c r="AW110" s="92"/>
      <c r="AX110" s="92"/>
      <c r="AY110" s="92"/>
      <c r="AZ110" s="2"/>
      <c r="BA110" s="35" t="s">
        <v>216</v>
      </c>
      <c r="BB110" s="87">
        <f>-SUMIF(BB85:BB108,"&lt;0")</f>
        <v>1246</v>
      </c>
      <c r="BC110" s="92">
        <f>BB110*AN82</f>
        <v>4984</v>
      </c>
      <c r="BD110" s="92" t="s">
        <v>217</v>
      </c>
      <c r="BE110" s="92"/>
      <c r="BF110" s="92"/>
      <c r="BG110" s="92"/>
    </row>
    <row r="111" spans="1:59" x14ac:dyDescent="0.3">
      <c r="A111" s="2" t="s">
        <v>45</v>
      </c>
      <c r="B111" s="20">
        <f>ROUND(B109/48.35,0)</f>
        <v>88</v>
      </c>
      <c r="C111" s="294">
        <f>((B111*(31-AN82)+AF111*AN82)/31)</f>
        <v>88</v>
      </c>
      <c r="D111" s="294">
        <f>C111-Load!F35</f>
        <v>-5.0058651026392909</v>
      </c>
      <c r="F111" s="21">
        <v>24.99</v>
      </c>
      <c r="G111" s="62">
        <f>D487</f>
        <v>48.782418750000005</v>
      </c>
      <c r="H111" s="98">
        <f>$F$479</f>
        <v>43.87</v>
      </c>
      <c r="I111" s="21">
        <v>28</v>
      </c>
      <c r="J111" s="21">
        <v>31.59</v>
      </c>
      <c r="K111" s="21">
        <v>33.229999999999997</v>
      </c>
      <c r="L111" s="21">
        <v>23.4</v>
      </c>
      <c r="M111" s="21">
        <v>27.5</v>
      </c>
      <c r="N111" s="21">
        <v>26.73</v>
      </c>
      <c r="O111" s="21"/>
      <c r="P111" s="21"/>
      <c r="Q111" s="21"/>
      <c r="R111" s="21"/>
      <c r="S111" s="21"/>
      <c r="T111" s="21"/>
      <c r="U111" s="313"/>
      <c r="X111" s="11">
        <f>SUM(X107:X108,X85:X90)</f>
        <v>896</v>
      </c>
      <c r="Y111" s="92">
        <f>Y110+BC110</f>
        <v>22426</v>
      </c>
      <c r="Z111" s="92" t="s">
        <v>236</v>
      </c>
      <c r="AA111" s="92"/>
      <c r="AE111" s="2" t="s">
        <v>45</v>
      </c>
      <c r="AF111" s="20">
        <f>ROUND(AF109/48.35,0)</f>
        <v>88</v>
      </c>
      <c r="AG111" s="92"/>
      <c r="AH111" s="92"/>
      <c r="AI111" s="92"/>
      <c r="AJ111" s="21"/>
      <c r="AK111" s="21"/>
      <c r="AL111" s="21"/>
      <c r="AM111" s="21">
        <v>28</v>
      </c>
      <c r="AN111" s="21">
        <v>31.59</v>
      </c>
      <c r="AO111" s="21">
        <v>33.229999999999997</v>
      </c>
      <c r="AP111" s="21">
        <v>23.4</v>
      </c>
      <c r="AQ111" s="21">
        <v>26.73</v>
      </c>
      <c r="AR111" s="313"/>
      <c r="AS111" s="313"/>
      <c r="AT111" s="313"/>
      <c r="AU111" s="92"/>
      <c r="AV111" s="92"/>
      <c r="AW111" s="92"/>
      <c r="AX111" s="92"/>
      <c r="AY111" s="92"/>
      <c r="AZ111" s="92"/>
      <c r="BA111" s="92"/>
      <c r="BB111" s="11">
        <f>SUM(BB107:BB108,BB85:BB90)</f>
        <v>896</v>
      </c>
      <c r="BC111" s="92"/>
      <c r="BD111" s="92"/>
      <c r="BE111" s="92"/>
      <c r="BF111" s="92"/>
      <c r="BG111" s="92"/>
    </row>
    <row r="112" spans="1:59" x14ac:dyDescent="0.3">
      <c r="A112" s="2" t="s">
        <v>62</v>
      </c>
      <c r="B112" s="2">
        <f>SUM(B91:B106)</f>
        <v>2312</v>
      </c>
      <c r="C112" s="2">
        <f>SUM(C91:C106)</f>
        <v>2496</v>
      </c>
      <c r="F112" s="99">
        <f>'Hoover with 30 MW Solar'!D30</f>
        <v>7751.5789059999997</v>
      </c>
      <c r="G112" s="2">
        <f t="shared" ref="G112" si="106">G109*31</f>
        <v>26040</v>
      </c>
      <c r="H112" s="99">
        <f>'Hoover with 30 MW Solar'!D31</f>
        <v>13033</v>
      </c>
      <c r="I112" s="2">
        <f>I109*(31-$AN82)</f>
        <v>5400</v>
      </c>
      <c r="J112" s="2">
        <f t="shared" ref="J112:U112" si="107">J109*(31-$AN82)</f>
        <v>21600</v>
      </c>
      <c r="K112" s="2">
        <f t="shared" si="107"/>
        <v>43200</v>
      </c>
      <c r="L112" s="2">
        <f t="shared" si="107"/>
        <v>10800</v>
      </c>
      <c r="M112" s="2">
        <f t="shared" si="107"/>
        <v>21600</v>
      </c>
      <c r="N112" s="2">
        <f t="shared" si="107"/>
        <v>16200</v>
      </c>
      <c r="O112" s="2">
        <f t="shared" si="107"/>
        <v>0</v>
      </c>
      <c r="P112" s="2">
        <f t="shared" si="107"/>
        <v>0</v>
      </c>
      <c r="Q112" s="2">
        <f t="shared" si="107"/>
        <v>0</v>
      </c>
      <c r="R112" s="2">
        <f t="shared" si="107"/>
        <v>0</v>
      </c>
      <c r="S112" s="2">
        <f t="shared" si="107"/>
        <v>0</v>
      </c>
      <c r="T112" s="2">
        <f t="shared" si="107"/>
        <v>0</v>
      </c>
      <c r="U112" s="2">
        <f t="shared" si="107"/>
        <v>0</v>
      </c>
      <c r="X112" s="13">
        <f>SUM(X91:X106)</f>
        <v>1178</v>
      </c>
      <c r="AE112" s="2" t="s">
        <v>62</v>
      </c>
      <c r="AF112" s="2">
        <f>SUM(AF91:AF106)</f>
        <v>2312</v>
      </c>
      <c r="AG112" s="2">
        <f>SUM(AG91:AG106)</f>
        <v>2496</v>
      </c>
      <c r="AH112" s="92"/>
      <c r="AI112" s="92"/>
      <c r="AJ112" s="22"/>
      <c r="AK112" s="22"/>
      <c r="AL112" s="22"/>
      <c r="AM112" s="22">
        <f>AM109*$AN82</f>
        <v>800</v>
      </c>
      <c r="AN112" s="22">
        <f t="shared" ref="AN112:AY112" si="108">AN109*$AN82</f>
        <v>3200</v>
      </c>
      <c r="AO112" s="22">
        <f t="shared" si="108"/>
        <v>6400</v>
      </c>
      <c r="AP112" s="22">
        <f t="shared" si="108"/>
        <v>4800</v>
      </c>
      <c r="AQ112" s="22">
        <f t="shared" si="108"/>
        <v>7200</v>
      </c>
      <c r="AR112" s="22">
        <f t="shared" si="108"/>
        <v>0</v>
      </c>
      <c r="AS112" s="22">
        <f t="shared" si="108"/>
        <v>0</v>
      </c>
      <c r="AT112" s="22">
        <f t="shared" si="108"/>
        <v>0</v>
      </c>
      <c r="AU112" s="22">
        <f t="shared" si="108"/>
        <v>0</v>
      </c>
      <c r="AV112" s="22">
        <f t="shared" si="108"/>
        <v>0</v>
      </c>
      <c r="AW112" s="22">
        <f t="shared" si="108"/>
        <v>0</v>
      </c>
      <c r="AX112" s="22">
        <f t="shared" si="108"/>
        <v>0</v>
      </c>
      <c r="AY112" s="22">
        <f t="shared" si="108"/>
        <v>0</v>
      </c>
      <c r="AZ112" s="92"/>
      <c r="BA112" s="92"/>
      <c r="BB112" s="13">
        <f>SUM(BB91:BB106)</f>
        <v>-22</v>
      </c>
      <c r="BC112" s="92"/>
      <c r="BD112" s="92"/>
      <c r="BE112" s="92"/>
      <c r="BF112" s="92"/>
      <c r="BG112" s="92"/>
    </row>
    <row r="113" spans="1:59" x14ac:dyDescent="0.3">
      <c r="A113" s="2" t="s">
        <v>63</v>
      </c>
      <c r="B113" s="2">
        <f>SUM(B107:B108,B85:B90)</f>
        <v>1928</v>
      </c>
      <c r="C113" s="2">
        <f>SUM(C107:C108,C85:C90)</f>
        <v>1248</v>
      </c>
      <c r="D113" s="24"/>
      <c r="E113" s="24"/>
      <c r="F113" s="25">
        <f t="shared" ref="F113:H113" si="109">F112*F111</f>
        <v>193711.95686093997</v>
      </c>
      <c r="G113" s="25">
        <f t="shared" si="109"/>
        <v>1270294.1842500002</v>
      </c>
      <c r="H113" s="25">
        <f t="shared" si="109"/>
        <v>571757.71</v>
      </c>
      <c r="I113" s="25">
        <f>I112*I111</f>
        <v>151200</v>
      </c>
      <c r="J113" s="25">
        <f t="shared" ref="J113" si="110">J112*J111</f>
        <v>682344</v>
      </c>
      <c r="K113" s="25">
        <f>K112*K111</f>
        <v>1435535.9999999998</v>
      </c>
      <c r="L113" s="25">
        <f t="shared" ref="L113:U113" si="111">L112*L111</f>
        <v>252719.99999999997</v>
      </c>
      <c r="M113" s="25">
        <f t="shared" si="111"/>
        <v>594000</v>
      </c>
      <c r="N113" s="25">
        <f t="shared" si="111"/>
        <v>433026</v>
      </c>
      <c r="O113" s="25">
        <f t="shared" si="111"/>
        <v>0</v>
      </c>
      <c r="P113" s="25">
        <f t="shared" si="111"/>
        <v>0</v>
      </c>
      <c r="Q113" s="25">
        <f t="shared" si="111"/>
        <v>0</v>
      </c>
      <c r="R113" s="25">
        <f t="shared" si="111"/>
        <v>0</v>
      </c>
      <c r="S113" s="25">
        <f t="shared" si="111"/>
        <v>0</v>
      </c>
      <c r="T113" s="25">
        <f t="shared" si="111"/>
        <v>0</v>
      </c>
      <c r="U113" s="25">
        <f t="shared" si="111"/>
        <v>0</v>
      </c>
      <c r="V113" s="24"/>
      <c r="W113" s="24"/>
      <c r="X113" s="24"/>
      <c r="Y113" s="24"/>
      <c r="Z113" s="24"/>
      <c r="AA113" s="24"/>
      <c r="AB113" s="24"/>
      <c r="AC113" s="24"/>
      <c r="AE113" s="2" t="s">
        <v>63</v>
      </c>
      <c r="AF113" s="2">
        <f>SUM(AF107:AF108,AF85:AF90)</f>
        <v>1928</v>
      </c>
      <c r="AG113" s="2">
        <f>SUM(AG107:AG108,AG85:AG90)</f>
        <v>1248</v>
      </c>
      <c r="AH113" s="24"/>
      <c r="AI113" s="24"/>
      <c r="AJ113" s="25"/>
      <c r="AK113" s="25"/>
      <c r="AL113" s="25"/>
      <c r="AM113" s="25">
        <f>AM112*AM111</f>
        <v>22400</v>
      </c>
      <c r="AN113" s="25">
        <f t="shared" ref="AN113:AY113" si="112">AN112*AN111</f>
        <v>101088</v>
      </c>
      <c r="AO113" s="25">
        <f t="shared" si="112"/>
        <v>212671.99999999997</v>
      </c>
      <c r="AP113" s="25">
        <f t="shared" si="112"/>
        <v>112320</v>
      </c>
      <c r="AQ113" s="25">
        <f t="shared" si="112"/>
        <v>192456</v>
      </c>
      <c r="AR113" s="25">
        <f t="shared" si="112"/>
        <v>0</v>
      </c>
      <c r="AS113" s="25">
        <f t="shared" si="112"/>
        <v>0</v>
      </c>
      <c r="AT113" s="25">
        <f t="shared" si="112"/>
        <v>0</v>
      </c>
      <c r="AU113" s="25">
        <f t="shared" si="112"/>
        <v>0</v>
      </c>
      <c r="AV113" s="25">
        <f t="shared" si="112"/>
        <v>0</v>
      </c>
      <c r="AW113" s="25">
        <f t="shared" si="112"/>
        <v>0</v>
      </c>
      <c r="AX113" s="25">
        <f t="shared" si="112"/>
        <v>0</v>
      </c>
      <c r="AY113" s="25">
        <f t="shared" si="112"/>
        <v>0</v>
      </c>
      <c r="AZ113" s="24"/>
      <c r="BA113" s="24"/>
      <c r="BB113" s="24"/>
      <c r="BC113" s="24"/>
      <c r="BD113" s="24"/>
      <c r="BE113" s="24"/>
      <c r="BF113" s="24"/>
      <c r="BG113" s="24"/>
    </row>
    <row r="114" spans="1:59" x14ac:dyDescent="0.3">
      <c r="A114" s="23"/>
      <c r="B114" s="23"/>
      <c r="C114" s="35" t="s">
        <v>221</v>
      </c>
      <c r="D114" s="117">
        <f>D110+AH110</f>
        <v>247504</v>
      </c>
      <c r="E114" s="23"/>
      <c r="F114" s="23"/>
      <c r="G114" s="23"/>
      <c r="H114" s="23"/>
      <c r="I114" s="116" t="s">
        <v>222</v>
      </c>
      <c r="J114" s="25">
        <f>SUM(F113:T113)+SUM(AM113:AX113)</f>
        <v>6225525.8511109399</v>
      </c>
      <c r="K114" s="23"/>
      <c r="L114" s="92"/>
      <c r="M114" s="92"/>
      <c r="W114" s="23"/>
      <c r="X114" s="11">
        <f>X111*(31-AN82)</f>
        <v>24192</v>
      </c>
      <c r="Y114" s="23"/>
      <c r="Z114" s="23"/>
      <c r="AA114" s="23"/>
      <c r="AB114" s="23"/>
      <c r="AC114" s="23"/>
      <c r="AE114" s="23"/>
      <c r="AF114" s="23"/>
      <c r="AG114" s="23"/>
      <c r="AH114" s="23"/>
      <c r="AI114" s="23"/>
      <c r="AJ114" s="23"/>
      <c r="AK114" s="23"/>
      <c r="AL114" s="23"/>
      <c r="AM114" s="23"/>
      <c r="AN114" s="25"/>
      <c r="AO114" s="23"/>
      <c r="AP114" s="92"/>
      <c r="AQ114" s="92"/>
      <c r="AR114" s="92"/>
      <c r="AS114" s="92"/>
      <c r="AT114" s="92"/>
      <c r="AU114" s="92"/>
      <c r="AV114" s="92"/>
      <c r="AW114" s="92"/>
      <c r="AX114" s="92"/>
      <c r="AY114" s="92"/>
      <c r="AZ114" s="92"/>
      <c r="BA114" s="23"/>
      <c r="BB114" s="11">
        <f>BB111*AN82</f>
        <v>3584</v>
      </c>
      <c r="BC114" s="23"/>
      <c r="BD114" s="23"/>
      <c r="BE114" s="23"/>
      <c r="BF114" s="23"/>
      <c r="BG114" s="23"/>
    </row>
    <row r="115" spans="1:59" x14ac:dyDescent="0.3">
      <c r="C115" s="35" t="s">
        <v>131</v>
      </c>
      <c r="D115" s="36">
        <f>D114-Load!S10</f>
        <v>-11653.978695505619</v>
      </c>
      <c r="I115" s="23" t="s">
        <v>188</v>
      </c>
      <c r="J115" s="22">
        <f>SUM(F112:T112)+SUM(AM112:AX112)</f>
        <v>188024.57890600001</v>
      </c>
      <c r="K115" s="39">
        <f>J115/D114</f>
        <v>0.75968299060217215</v>
      </c>
      <c r="L115" s="92" t="s">
        <v>223</v>
      </c>
      <c r="M115" s="92"/>
      <c r="X115" s="13">
        <f>X112*(31-AN82)</f>
        <v>31806</v>
      </c>
      <c r="AE115" s="92"/>
      <c r="AF115" s="92"/>
      <c r="AG115" s="35"/>
      <c r="AH115" s="36"/>
      <c r="AI115" s="92"/>
      <c r="AJ115" s="92"/>
      <c r="AK115" s="92"/>
      <c r="AL115" s="92"/>
      <c r="AM115" s="23"/>
      <c r="AN115" s="22"/>
      <c r="AO115" s="39"/>
      <c r="AP115" s="92"/>
      <c r="AQ115" s="92"/>
      <c r="AR115" s="92"/>
      <c r="AS115" s="92"/>
      <c r="AT115" s="92"/>
      <c r="AU115" s="92"/>
      <c r="AV115" s="92"/>
      <c r="AW115" s="92"/>
      <c r="AX115" s="92"/>
      <c r="AY115" s="92"/>
      <c r="AZ115" s="92"/>
      <c r="BA115" s="92"/>
      <c r="BB115" s="13">
        <f>BB112*AN82</f>
        <v>-88</v>
      </c>
      <c r="BC115" s="92"/>
      <c r="BD115" s="92"/>
      <c r="BE115" s="92"/>
      <c r="BF115" s="92"/>
      <c r="BG115" s="92"/>
    </row>
    <row r="116" spans="1:59" ht="15" thickBot="1" x14ac:dyDescent="0.35">
      <c r="C116" s="35" t="s">
        <v>383</v>
      </c>
      <c r="D116" s="49">
        <f>C111*31*50.6</f>
        <v>138036.80000000002</v>
      </c>
      <c r="I116" s="23" t="s">
        <v>47</v>
      </c>
      <c r="J116" s="21">
        <f>J114/J115</f>
        <v>33.110170422045172</v>
      </c>
      <c r="L116" s="92"/>
      <c r="M116" s="92" t="s">
        <v>100</v>
      </c>
      <c r="X116" s="37">
        <f>SUM(X114:X115)+Y110+BB116</f>
        <v>81920</v>
      </c>
      <c r="Y116" t="s">
        <v>159</v>
      </c>
      <c r="AE116" s="23"/>
      <c r="AF116" s="92"/>
      <c r="AG116" s="92"/>
      <c r="AH116" s="92"/>
      <c r="AI116" s="92"/>
      <c r="AJ116" s="92"/>
      <c r="AK116" s="92"/>
      <c r="AL116" s="92"/>
      <c r="AM116" s="23"/>
      <c r="AN116" s="21"/>
      <c r="AO116" s="92"/>
      <c r="AP116" s="92"/>
      <c r="AQ116" s="92"/>
      <c r="AR116" s="92"/>
      <c r="AS116" s="92"/>
      <c r="AT116" s="92"/>
      <c r="AU116" s="92"/>
      <c r="AV116" s="92"/>
      <c r="AW116" s="92"/>
      <c r="AX116" s="92"/>
      <c r="AY116" s="92"/>
      <c r="AZ116" s="92"/>
      <c r="BA116" s="92"/>
      <c r="BB116" s="37">
        <f>SUM(BB114:BB115)+BC110</f>
        <v>8480</v>
      </c>
      <c r="BC116" s="92" t="s">
        <v>218</v>
      </c>
      <c r="BD116" s="92"/>
      <c r="BE116" s="92"/>
      <c r="BF116" s="92"/>
      <c r="BG116" s="92"/>
    </row>
    <row r="117" spans="1:59" x14ac:dyDescent="0.3">
      <c r="A117" s="313"/>
      <c r="B117" s="313"/>
      <c r="C117" s="35" t="s">
        <v>384</v>
      </c>
      <c r="D117" s="36">
        <f>D116-Load!F33</f>
        <v>-7852.1999999999825</v>
      </c>
      <c r="E117" s="35"/>
      <c r="I117" s="67" t="s">
        <v>187</v>
      </c>
      <c r="J117" s="68">
        <f>SUM(I112:T112)+SUM(AM112:AX112)</f>
        <v>141200</v>
      </c>
      <c r="L117" s="92" t="s">
        <v>233</v>
      </c>
      <c r="M117" s="31">
        <f>SUM(I112:N112)+SUM(AM112:AR112)</f>
        <v>141200</v>
      </c>
      <c r="X117" s="93">
        <f>(SUM(X114:X115)+Y110)*Y117+BB118</f>
        <v>2867200</v>
      </c>
      <c r="Y117" s="57">
        <v>35</v>
      </c>
      <c r="Z117" t="s">
        <v>160</v>
      </c>
      <c r="AE117" s="23"/>
      <c r="AF117" s="92"/>
      <c r="AG117" s="92"/>
      <c r="AH117" s="92"/>
      <c r="AI117" s="92"/>
      <c r="AJ117" s="92"/>
      <c r="AK117" s="92"/>
      <c r="AL117" s="92"/>
      <c r="AM117" s="92"/>
      <c r="AN117" s="92"/>
      <c r="AO117" s="92"/>
      <c r="AP117" s="92"/>
      <c r="AQ117" s="92"/>
      <c r="AR117" s="92"/>
      <c r="AS117" s="92"/>
      <c r="AT117" s="92"/>
      <c r="AU117" s="92"/>
      <c r="AV117" s="92"/>
      <c r="AW117" s="92"/>
      <c r="AX117" s="92"/>
      <c r="AY117" s="92"/>
      <c r="AZ117" s="92"/>
      <c r="BA117" s="92"/>
      <c r="BB117" s="93">
        <f>BB116*BC117</f>
        <v>296800</v>
      </c>
      <c r="BC117" s="93">
        <f>Y117</f>
        <v>35</v>
      </c>
      <c r="BD117" s="92" t="s">
        <v>160</v>
      </c>
      <c r="BE117" s="92"/>
      <c r="BF117" s="92"/>
      <c r="BG117" s="92"/>
    </row>
    <row r="118" spans="1:59" x14ac:dyDescent="0.3">
      <c r="I118" s="69" t="s">
        <v>18</v>
      </c>
      <c r="J118" s="70">
        <f>SUM(I113:T113)+SUM(AM113:AX113)</f>
        <v>4189762</v>
      </c>
      <c r="L118" s="92" t="s">
        <v>235</v>
      </c>
      <c r="M118" s="31">
        <f>SUM(O112:U112)+SUM(AS112:AY112)</f>
        <v>0</v>
      </c>
      <c r="X118" s="79">
        <f>X117+J118</f>
        <v>7056962</v>
      </c>
      <c r="Y118" t="s">
        <v>161</v>
      </c>
      <c r="AE118" s="23"/>
      <c r="AF118" s="92"/>
      <c r="AG118" s="92"/>
      <c r="AH118" s="92"/>
      <c r="AI118" s="92"/>
      <c r="AJ118" s="92"/>
      <c r="AK118" s="92"/>
      <c r="AL118" s="92"/>
      <c r="AM118" s="92"/>
      <c r="AN118" s="92"/>
      <c r="AO118" s="92"/>
      <c r="AP118" s="92"/>
      <c r="AQ118" s="92"/>
      <c r="AR118" s="92"/>
      <c r="AS118" s="92"/>
      <c r="AT118" s="92"/>
      <c r="AU118" s="92"/>
      <c r="AV118" s="92"/>
      <c r="AW118" s="92"/>
      <c r="AX118" s="92"/>
      <c r="AY118" s="92"/>
      <c r="AZ118" s="92"/>
      <c r="BA118" s="92"/>
      <c r="BB118" s="79">
        <f>BB117</f>
        <v>296800</v>
      </c>
      <c r="BC118" s="92" t="s">
        <v>219</v>
      </c>
      <c r="BD118" s="92"/>
      <c r="BE118" s="92"/>
      <c r="BF118" s="92"/>
      <c r="BG118" s="92"/>
    </row>
    <row r="119" spans="1:59" ht="15" thickBot="1" x14ac:dyDescent="0.35">
      <c r="I119" s="71" t="s">
        <v>156</v>
      </c>
      <c r="J119" s="72">
        <f>J118/J117</f>
        <v>29.672535410764873</v>
      </c>
      <c r="W119" s="38" t="s">
        <v>193</v>
      </c>
      <c r="X119" s="80">
        <f>J117+X116</f>
        <v>223120</v>
      </c>
      <c r="Y119" s="79">
        <f>X118/X119</f>
        <v>31.62854965937612</v>
      </c>
      <c r="AE119" s="23"/>
      <c r="AF119" s="92"/>
      <c r="AG119" s="92"/>
      <c r="AH119" s="92"/>
      <c r="AI119" s="92"/>
      <c r="AJ119" s="92"/>
      <c r="AK119" s="92"/>
      <c r="AL119" s="92"/>
      <c r="AM119" s="92"/>
      <c r="AN119" s="92"/>
      <c r="AO119" s="92"/>
      <c r="AP119" s="92"/>
      <c r="AQ119" s="92"/>
      <c r="AR119" s="92"/>
      <c r="AS119" s="92"/>
      <c r="AT119" s="92"/>
      <c r="AU119" s="92"/>
      <c r="AV119" s="92"/>
      <c r="AW119" s="92"/>
      <c r="AX119" s="92"/>
      <c r="AY119" s="92"/>
      <c r="AZ119" s="92"/>
      <c r="BA119" s="38"/>
      <c r="BB119" s="80"/>
      <c r="BC119" s="79"/>
      <c r="BD119" s="92"/>
      <c r="BE119" s="92"/>
      <c r="BF119" s="92"/>
      <c r="BG119" s="92"/>
    </row>
    <row r="120" spans="1:59" x14ac:dyDescent="0.3">
      <c r="M120" s="23"/>
      <c r="N120" s="21"/>
      <c r="O120" s="21"/>
      <c r="P120" s="21"/>
      <c r="Q120" s="21"/>
      <c r="R120" s="21"/>
      <c r="S120" s="21"/>
      <c r="T120" s="21"/>
    </row>
    <row r="121" spans="1:59" x14ac:dyDescent="0.3">
      <c r="AE121" s="92"/>
      <c r="AF121" s="92"/>
      <c r="AG121" s="92"/>
      <c r="AH121" s="92"/>
      <c r="AI121" s="92"/>
      <c r="AJ121" s="92"/>
      <c r="AK121" s="92"/>
      <c r="AL121" s="92"/>
      <c r="AM121" s="92"/>
      <c r="AN121" s="115" t="s">
        <v>215</v>
      </c>
      <c r="AO121" s="92"/>
      <c r="AP121" s="92"/>
      <c r="AQ121" s="92"/>
      <c r="AR121" s="92"/>
      <c r="AS121" s="92"/>
      <c r="AT121" s="92"/>
      <c r="AU121" s="92"/>
      <c r="AV121" s="92"/>
      <c r="AW121" s="92"/>
      <c r="AX121" s="92"/>
      <c r="AY121" s="92"/>
      <c r="AZ121" s="92"/>
      <c r="BA121" s="92"/>
      <c r="BB121" s="92"/>
      <c r="BC121" s="92"/>
      <c r="BD121" s="92"/>
      <c r="BE121" s="92"/>
      <c r="BF121" s="92"/>
      <c r="BG121" s="92"/>
    </row>
    <row r="122" spans="1:59" ht="15" thickBot="1" x14ac:dyDescent="0.35">
      <c r="A122" s="2" t="s">
        <v>53</v>
      </c>
      <c r="F122" s="87"/>
      <c r="X122" s="91" t="s">
        <v>0</v>
      </c>
      <c r="Z122" s="481" t="s">
        <v>1</v>
      </c>
      <c r="AA122" s="483"/>
      <c r="AB122" s="482"/>
      <c r="AC122" s="1" t="s">
        <v>75</v>
      </c>
      <c r="AE122" s="2" t="s">
        <v>53</v>
      </c>
      <c r="AF122" s="92"/>
      <c r="AG122" s="92"/>
      <c r="AH122" s="92"/>
      <c r="AI122" s="92"/>
      <c r="AJ122" s="92"/>
      <c r="AK122" s="92"/>
      <c r="AL122" s="92"/>
      <c r="AM122" s="37" t="s">
        <v>214</v>
      </c>
      <c r="AN122" s="322">
        <v>4</v>
      </c>
      <c r="AO122" s="313"/>
      <c r="AP122" s="313"/>
      <c r="AQ122" s="313"/>
      <c r="AR122" s="313"/>
      <c r="AS122" s="313"/>
      <c r="AT122" s="313"/>
      <c r="AU122" s="313"/>
      <c r="AV122" s="313"/>
      <c r="AW122" s="313"/>
      <c r="AX122" s="313"/>
      <c r="AY122" s="313"/>
      <c r="AZ122" s="92"/>
      <c r="BA122" s="92"/>
      <c r="BB122" s="114" t="s">
        <v>0</v>
      </c>
      <c r="BC122" s="92"/>
      <c r="BD122" s="481" t="s">
        <v>1</v>
      </c>
      <c r="BE122" s="483"/>
      <c r="BF122" s="482"/>
      <c r="BG122" s="1" t="s">
        <v>75</v>
      </c>
    </row>
    <row r="123" spans="1:59" x14ac:dyDescent="0.3">
      <c r="F123" s="87" t="s">
        <v>415</v>
      </c>
      <c r="I123" s="73" t="s">
        <v>50</v>
      </c>
      <c r="J123" s="74" t="s">
        <v>224</v>
      </c>
      <c r="K123" s="74"/>
      <c r="L123" s="74"/>
      <c r="M123" s="74"/>
      <c r="N123" s="104"/>
      <c r="O123" s="104"/>
      <c r="P123" s="104"/>
      <c r="Q123" s="104"/>
      <c r="R123" s="104"/>
      <c r="S123" s="104"/>
      <c r="T123" s="104"/>
      <c r="U123" s="105"/>
      <c r="X123" s="3" t="s">
        <v>4</v>
      </c>
      <c r="Z123" s="3" t="s">
        <v>4</v>
      </c>
      <c r="AA123" s="4" t="s">
        <v>4</v>
      </c>
      <c r="AB123" s="5" t="s">
        <v>4</v>
      </c>
      <c r="AC123" s="5" t="s">
        <v>6</v>
      </c>
      <c r="AE123" s="92"/>
      <c r="AF123" s="92"/>
      <c r="AG123" s="92"/>
      <c r="AH123" s="92"/>
      <c r="AI123" s="92"/>
      <c r="AJ123" s="92"/>
      <c r="AK123" s="92"/>
      <c r="AL123" s="92"/>
      <c r="AM123" s="73" t="s">
        <v>50</v>
      </c>
      <c r="AN123" s="74" t="s">
        <v>224</v>
      </c>
      <c r="AO123" s="74"/>
      <c r="AP123" s="74"/>
      <c r="AQ123" s="74"/>
      <c r="AR123" s="104"/>
      <c r="AS123" s="104"/>
      <c r="AT123" s="104"/>
      <c r="AU123" s="104"/>
      <c r="AV123" s="104"/>
      <c r="AW123" s="104"/>
      <c r="AX123" s="104"/>
      <c r="AY123" s="105"/>
      <c r="AZ123" s="92"/>
      <c r="BA123" s="92"/>
      <c r="BB123" s="3" t="s">
        <v>4</v>
      </c>
      <c r="BC123" s="92"/>
      <c r="BD123" s="3" t="s">
        <v>4</v>
      </c>
      <c r="BE123" s="4" t="s">
        <v>4</v>
      </c>
      <c r="BF123" s="5" t="s">
        <v>4</v>
      </c>
      <c r="BG123" s="5" t="s">
        <v>6</v>
      </c>
    </row>
    <row r="124" spans="1:59" ht="15" thickBot="1" x14ac:dyDescent="0.35">
      <c r="A124" s="2" t="s">
        <v>7</v>
      </c>
      <c r="B124" s="2" t="s">
        <v>8</v>
      </c>
      <c r="C124" s="2" t="s">
        <v>9</v>
      </c>
      <c r="D124" s="2" t="s">
        <v>10</v>
      </c>
      <c r="E124" s="2" t="s">
        <v>7</v>
      </c>
      <c r="F124" s="2" t="s">
        <v>11</v>
      </c>
      <c r="G124" s="2" t="s">
        <v>12</v>
      </c>
      <c r="H124" s="2" t="s">
        <v>13</v>
      </c>
      <c r="I124" s="75" t="s">
        <v>15</v>
      </c>
      <c r="J124" s="76" t="s">
        <v>15</v>
      </c>
      <c r="K124" s="76"/>
      <c r="L124" s="76"/>
      <c r="M124" s="76"/>
      <c r="N124" s="106"/>
      <c r="O124" s="106"/>
      <c r="P124" s="106"/>
      <c r="Q124" s="106"/>
      <c r="R124" s="106"/>
      <c r="S124" s="106"/>
      <c r="T124" s="106"/>
      <c r="U124" s="107"/>
      <c r="V124" s="2" t="s">
        <v>16</v>
      </c>
      <c r="X124" s="6" t="s">
        <v>17</v>
      </c>
      <c r="Z124" s="6" t="s">
        <v>5</v>
      </c>
      <c r="AA124" s="7" t="s">
        <v>15</v>
      </c>
      <c r="AB124" s="8" t="s">
        <v>18</v>
      </c>
      <c r="AC124" s="8" t="s">
        <v>0</v>
      </c>
      <c r="AE124" s="2" t="s">
        <v>7</v>
      </c>
      <c r="AF124" s="2" t="s">
        <v>8</v>
      </c>
      <c r="AG124" s="2" t="s">
        <v>9</v>
      </c>
      <c r="AH124" s="2" t="s">
        <v>10</v>
      </c>
      <c r="AI124" s="2" t="s">
        <v>7</v>
      </c>
      <c r="AJ124" s="2" t="s">
        <v>11</v>
      </c>
      <c r="AK124" s="2" t="s">
        <v>12</v>
      </c>
      <c r="AL124" s="2" t="s">
        <v>13</v>
      </c>
      <c r="AM124" s="75" t="s">
        <v>15</v>
      </c>
      <c r="AN124" s="76" t="s">
        <v>15</v>
      </c>
      <c r="AO124" s="76"/>
      <c r="AP124" s="76"/>
      <c r="AQ124" s="76"/>
      <c r="AR124" s="106"/>
      <c r="AS124" s="106"/>
      <c r="AT124" s="106"/>
      <c r="AU124" s="106"/>
      <c r="AV124" s="106"/>
      <c r="AW124" s="106"/>
      <c r="AX124" s="106"/>
      <c r="AY124" s="107"/>
      <c r="AZ124" s="2" t="s">
        <v>16</v>
      </c>
      <c r="BA124" s="92"/>
      <c r="BB124" s="6" t="s">
        <v>17</v>
      </c>
      <c r="BC124" s="92"/>
      <c r="BD124" s="6" t="s">
        <v>5</v>
      </c>
      <c r="BE124" s="7" t="s">
        <v>15</v>
      </c>
      <c r="BF124" s="8" t="s">
        <v>18</v>
      </c>
      <c r="BG124" s="8" t="s">
        <v>0</v>
      </c>
    </row>
    <row r="125" spans="1:59" x14ac:dyDescent="0.3">
      <c r="A125" s="9" t="s">
        <v>19</v>
      </c>
      <c r="B125" s="2">
        <v>241</v>
      </c>
      <c r="C125" s="99">
        <f>ROUND(Load!$G$43+'2022'!$E$150*0.485/720,0)</f>
        <v>158</v>
      </c>
      <c r="D125" s="2">
        <f t="shared" ref="D125:D148" si="113">SUM(B125:C125)</f>
        <v>399</v>
      </c>
      <c r="E125" s="9" t="s">
        <v>19</v>
      </c>
      <c r="F125" s="2"/>
      <c r="G125" s="2">
        <v>35</v>
      </c>
      <c r="H125" s="2"/>
      <c r="I125" s="73"/>
      <c r="J125" s="74">
        <v>100</v>
      </c>
      <c r="K125" s="74"/>
      <c r="L125" s="74"/>
      <c r="M125" s="74"/>
      <c r="N125" s="104"/>
      <c r="O125" s="104"/>
      <c r="P125" s="104"/>
      <c r="Q125" s="104"/>
      <c r="R125" s="104"/>
      <c r="S125" s="104"/>
      <c r="T125" s="104"/>
      <c r="U125" s="105"/>
      <c r="V125" s="2">
        <f t="shared" ref="V125:V148" si="114">SUM(F125:U125)</f>
        <v>135</v>
      </c>
      <c r="W125" s="10"/>
      <c r="X125" s="11">
        <f t="shared" ref="X125:X148" si="115">D125-V125</f>
        <v>264</v>
      </c>
      <c r="Y125" s="10"/>
      <c r="Z125" s="12">
        <f>142-F125-H125-M125</f>
        <v>142</v>
      </c>
      <c r="AA125" s="12">
        <f>342-I125-J125</f>
        <v>242</v>
      </c>
      <c r="AB125" s="2">
        <f t="shared" ref="AB125:AB148" si="116">Z125+AA125</f>
        <v>384</v>
      </c>
      <c r="AC125" s="2">
        <f t="shared" ref="AC125:AC148" si="117">Z125+AA125-X125</f>
        <v>120</v>
      </c>
      <c r="AE125" s="9" t="s">
        <v>19</v>
      </c>
      <c r="AF125" s="2">
        <v>241</v>
      </c>
      <c r="AG125" s="99">
        <f>ROUND(Load!$G$43+'2022'!$E$150*0.485/720,0)</f>
        <v>158</v>
      </c>
      <c r="AH125" s="2">
        <f t="shared" ref="AH125:AH148" si="118">SUM(AF125:AG125)</f>
        <v>399</v>
      </c>
      <c r="AI125" s="9" t="s">
        <v>19</v>
      </c>
      <c r="AJ125" s="2"/>
      <c r="AK125" s="2">
        <v>35</v>
      </c>
      <c r="AL125" s="314"/>
      <c r="AM125" s="73"/>
      <c r="AN125" s="74">
        <v>100</v>
      </c>
      <c r="AO125" s="74"/>
      <c r="AP125" s="74"/>
      <c r="AQ125" s="74"/>
      <c r="AR125" s="104"/>
      <c r="AS125" s="104"/>
      <c r="AT125" s="104"/>
      <c r="AU125" s="104"/>
      <c r="AV125" s="104"/>
      <c r="AW125" s="104"/>
      <c r="AX125" s="104"/>
      <c r="AY125" s="105"/>
      <c r="AZ125" s="2">
        <f t="shared" ref="AZ125:AZ148" si="119">SUM(AJ125:AY125)</f>
        <v>135</v>
      </c>
      <c r="BA125" s="10"/>
      <c r="BB125" s="11">
        <f t="shared" ref="BB125:BB148" si="120">AH125-AZ125</f>
        <v>264</v>
      </c>
      <c r="BC125" s="10"/>
      <c r="BD125" s="12">
        <f>142-AJ125-AL125-AQ125</f>
        <v>142</v>
      </c>
      <c r="BE125" s="12">
        <f>342-AM125-AN125</f>
        <v>242</v>
      </c>
      <c r="BF125" s="2">
        <f t="shared" ref="BF125:BF148" si="121">BD125+BE125</f>
        <v>384</v>
      </c>
      <c r="BG125" s="2">
        <f t="shared" ref="BG125:BG148" si="122">BD125+BE125-BB125</f>
        <v>120</v>
      </c>
    </row>
    <row r="126" spans="1:59" x14ac:dyDescent="0.3">
      <c r="A126" s="9" t="s">
        <v>20</v>
      </c>
      <c r="B126" s="314">
        <v>241</v>
      </c>
      <c r="C126" s="99">
        <f>ROUND(Load!$G$43+'2022'!$E$150*0.485/720,0)</f>
        <v>158</v>
      </c>
      <c r="D126" s="2">
        <f t="shared" si="113"/>
        <v>399</v>
      </c>
      <c r="E126" s="9" t="s">
        <v>20</v>
      </c>
      <c r="F126" s="2"/>
      <c r="G126" s="2">
        <v>35</v>
      </c>
      <c r="H126" s="2"/>
      <c r="I126" s="77"/>
      <c r="J126" s="78">
        <v>100</v>
      </c>
      <c r="K126" s="78"/>
      <c r="L126" s="78"/>
      <c r="M126" s="78"/>
      <c r="N126" s="108"/>
      <c r="O126" s="108"/>
      <c r="P126" s="108"/>
      <c r="Q126" s="108"/>
      <c r="R126" s="108"/>
      <c r="S126" s="108"/>
      <c r="T126" s="108"/>
      <c r="U126" s="109"/>
      <c r="V126" s="2">
        <f t="shared" si="114"/>
        <v>135</v>
      </c>
      <c r="W126" s="10"/>
      <c r="X126" s="11">
        <f t="shared" si="115"/>
        <v>264</v>
      </c>
      <c r="Y126" s="10"/>
      <c r="Z126" s="12">
        <f t="shared" ref="Z126:Z148" si="123">142-F126-H126-M126</f>
        <v>142</v>
      </c>
      <c r="AA126" s="12">
        <f t="shared" ref="AA126:AA130" si="124">342-I126-J126</f>
        <v>242</v>
      </c>
      <c r="AB126" s="2">
        <f t="shared" si="116"/>
        <v>384</v>
      </c>
      <c r="AC126" s="2">
        <f t="shared" si="117"/>
        <v>120</v>
      </c>
      <c r="AE126" s="9" t="s">
        <v>20</v>
      </c>
      <c r="AF126" s="2">
        <v>241</v>
      </c>
      <c r="AG126" s="99">
        <f>ROUND(Load!$G$43+'2022'!$E$150*0.485/720,0)</f>
        <v>158</v>
      </c>
      <c r="AH126" s="2">
        <f t="shared" si="118"/>
        <v>399</v>
      </c>
      <c r="AI126" s="9" t="s">
        <v>20</v>
      </c>
      <c r="AJ126" s="2"/>
      <c r="AK126" s="2">
        <v>35</v>
      </c>
      <c r="AL126" s="314"/>
      <c r="AM126" s="77"/>
      <c r="AN126" s="78">
        <v>100</v>
      </c>
      <c r="AO126" s="78"/>
      <c r="AP126" s="78"/>
      <c r="AQ126" s="78"/>
      <c r="AR126" s="108"/>
      <c r="AS126" s="108"/>
      <c r="AT126" s="108"/>
      <c r="AU126" s="108"/>
      <c r="AV126" s="108"/>
      <c r="AW126" s="108"/>
      <c r="AX126" s="108"/>
      <c r="AY126" s="109"/>
      <c r="AZ126" s="2">
        <f t="shared" si="119"/>
        <v>135</v>
      </c>
      <c r="BA126" s="10"/>
      <c r="BB126" s="11">
        <f t="shared" si="120"/>
        <v>264</v>
      </c>
      <c r="BC126" s="10"/>
      <c r="BD126" s="12">
        <f t="shared" ref="BD126:BD148" si="125">142-AJ126-AL126-AQ126</f>
        <v>142</v>
      </c>
      <c r="BE126" s="12">
        <f t="shared" ref="BE126:BE148" si="126">342-AM126-AN126</f>
        <v>242</v>
      </c>
      <c r="BF126" s="2">
        <f t="shared" si="121"/>
        <v>384</v>
      </c>
      <c r="BG126" s="2">
        <f t="shared" si="122"/>
        <v>120</v>
      </c>
    </row>
    <row r="127" spans="1:59" x14ac:dyDescent="0.3">
      <c r="A127" s="9" t="s">
        <v>21</v>
      </c>
      <c r="B127" s="314">
        <v>241</v>
      </c>
      <c r="C127" s="99">
        <f>ROUND(Load!$G$43+'2022'!$E$150*0.485/720,0)</f>
        <v>158</v>
      </c>
      <c r="D127" s="2">
        <f t="shared" si="113"/>
        <v>399</v>
      </c>
      <c r="E127" s="9" t="s">
        <v>21</v>
      </c>
      <c r="F127" s="2"/>
      <c r="G127" s="2">
        <v>35</v>
      </c>
      <c r="H127" s="2"/>
      <c r="I127" s="77"/>
      <c r="J127" s="78">
        <v>100</v>
      </c>
      <c r="K127" s="78"/>
      <c r="L127" s="78"/>
      <c r="M127" s="78"/>
      <c r="N127" s="108"/>
      <c r="O127" s="108"/>
      <c r="P127" s="108"/>
      <c r="Q127" s="108"/>
      <c r="R127" s="108"/>
      <c r="S127" s="108"/>
      <c r="T127" s="108"/>
      <c r="U127" s="109"/>
      <c r="V127" s="2">
        <f t="shared" si="114"/>
        <v>135</v>
      </c>
      <c r="W127" s="10"/>
      <c r="X127" s="11">
        <f t="shared" si="115"/>
        <v>264</v>
      </c>
      <c r="Y127" s="10"/>
      <c r="Z127" s="12">
        <f t="shared" si="123"/>
        <v>142</v>
      </c>
      <c r="AA127" s="12">
        <f t="shared" si="124"/>
        <v>242</v>
      </c>
      <c r="AB127" s="2">
        <f t="shared" si="116"/>
        <v>384</v>
      </c>
      <c r="AC127" s="2">
        <f t="shared" si="117"/>
        <v>120</v>
      </c>
      <c r="AE127" s="9" t="s">
        <v>21</v>
      </c>
      <c r="AF127" s="2">
        <v>241</v>
      </c>
      <c r="AG127" s="99">
        <f>ROUND(Load!$G$43+'2022'!$E$150*0.485/720,0)</f>
        <v>158</v>
      </c>
      <c r="AH127" s="2">
        <f t="shared" si="118"/>
        <v>399</v>
      </c>
      <c r="AI127" s="9" t="s">
        <v>21</v>
      </c>
      <c r="AJ127" s="2"/>
      <c r="AK127" s="2">
        <v>35</v>
      </c>
      <c r="AL127" s="314"/>
      <c r="AM127" s="77"/>
      <c r="AN127" s="78">
        <v>100</v>
      </c>
      <c r="AO127" s="78"/>
      <c r="AP127" s="78"/>
      <c r="AQ127" s="78"/>
      <c r="AR127" s="108"/>
      <c r="AS127" s="108"/>
      <c r="AT127" s="108"/>
      <c r="AU127" s="108"/>
      <c r="AV127" s="108"/>
      <c r="AW127" s="108"/>
      <c r="AX127" s="108"/>
      <c r="AY127" s="109"/>
      <c r="AZ127" s="2">
        <f t="shared" si="119"/>
        <v>135</v>
      </c>
      <c r="BA127" s="10"/>
      <c r="BB127" s="11">
        <f t="shared" si="120"/>
        <v>264</v>
      </c>
      <c r="BC127" s="10"/>
      <c r="BD127" s="12">
        <f t="shared" si="125"/>
        <v>142</v>
      </c>
      <c r="BE127" s="12">
        <f t="shared" si="126"/>
        <v>242</v>
      </c>
      <c r="BF127" s="2">
        <f t="shared" si="121"/>
        <v>384</v>
      </c>
      <c r="BG127" s="2">
        <f t="shared" si="122"/>
        <v>120</v>
      </c>
    </row>
    <row r="128" spans="1:59" x14ac:dyDescent="0.3">
      <c r="A128" s="9" t="s">
        <v>22</v>
      </c>
      <c r="B128" s="314">
        <v>241</v>
      </c>
      <c r="C128" s="99">
        <f>ROUND(Load!$G$43+'2022'!$E$150*0.485/720,0)</f>
        <v>158</v>
      </c>
      <c r="D128" s="2">
        <f t="shared" si="113"/>
        <v>399</v>
      </c>
      <c r="E128" s="9" t="s">
        <v>22</v>
      </c>
      <c r="F128" s="2"/>
      <c r="G128" s="2">
        <v>35</v>
      </c>
      <c r="H128" s="2"/>
      <c r="I128" s="77"/>
      <c r="J128" s="78">
        <v>100</v>
      </c>
      <c r="K128" s="78"/>
      <c r="L128" s="78"/>
      <c r="M128" s="78"/>
      <c r="N128" s="108"/>
      <c r="O128" s="108"/>
      <c r="P128" s="108"/>
      <c r="Q128" s="108"/>
      <c r="R128" s="108"/>
      <c r="S128" s="108"/>
      <c r="T128" s="108"/>
      <c r="U128" s="109"/>
      <c r="V128" s="2">
        <f t="shared" si="114"/>
        <v>135</v>
      </c>
      <c r="W128" s="10"/>
      <c r="X128" s="11">
        <f t="shared" si="115"/>
        <v>264</v>
      </c>
      <c r="Y128" s="10"/>
      <c r="Z128" s="12">
        <f>142-F128-H128-M128</f>
        <v>142</v>
      </c>
      <c r="AA128" s="12">
        <f t="shared" si="124"/>
        <v>242</v>
      </c>
      <c r="AB128" s="2">
        <f t="shared" si="116"/>
        <v>384</v>
      </c>
      <c r="AC128" s="2">
        <f t="shared" si="117"/>
        <v>120</v>
      </c>
      <c r="AE128" s="9" t="s">
        <v>22</v>
      </c>
      <c r="AF128" s="2">
        <v>241</v>
      </c>
      <c r="AG128" s="99">
        <f>ROUND(Load!$G$43+'2022'!$E$150*0.485/720,0)</f>
        <v>158</v>
      </c>
      <c r="AH128" s="2">
        <f t="shared" si="118"/>
        <v>399</v>
      </c>
      <c r="AI128" s="9" t="s">
        <v>22</v>
      </c>
      <c r="AJ128" s="2"/>
      <c r="AK128" s="2">
        <v>35</v>
      </c>
      <c r="AL128" s="314"/>
      <c r="AM128" s="77"/>
      <c r="AN128" s="78">
        <v>100</v>
      </c>
      <c r="AO128" s="78"/>
      <c r="AP128" s="78"/>
      <c r="AQ128" s="78"/>
      <c r="AR128" s="108"/>
      <c r="AS128" s="108"/>
      <c r="AT128" s="108"/>
      <c r="AU128" s="108"/>
      <c r="AV128" s="108"/>
      <c r="AW128" s="108"/>
      <c r="AX128" s="108"/>
      <c r="AY128" s="109"/>
      <c r="AZ128" s="2">
        <f t="shared" si="119"/>
        <v>135</v>
      </c>
      <c r="BA128" s="10"/>
      <c r="BB128" s="11">
        <f t="shared" si="120"/>
        <v>264</v>
      </c>
      <c r="BC128" s="10"/>
      <c r="BD128" s="12">
        <f t="shared" si="125"/>
        <v>142</v>
      </c>
      <c r="BE128" s="12">
        <f t="shared" si="126"/>
        <v>242</v>
      </c>
      <c r="BF128" s="2">
        <f t="shared" si="121"/>
        <v>384</v>
      </c>
      <c r="BG128" s="2">
        <f t="shared" si="122"/>
        <v>120</v>
      </c>
    </row>
    <row r="129" spans="1:59" x14ac:dyDescent="0.3">
      <c r="A129" s="9" t="s">
        <v>23</v>
      </c>
      <c r="B129" s="314">
        <v>241</v>
      </c>
      <c r="C129" s="99">
        <f>ROUND(Load!$G$43+'2022'!$E$150*0.485/720,0)</f>
        <v>158</v>
      </c>
      <c r="D129" s="2">
        <f t="shared" si="113"/>
        <v>399</v>
      </c>
      <c r="E129" s="9" t="s">
        <v>23</v>
      </c>
      <c r="F129" s="2"/>
      <c r="G129" s="2">
        <v>35</v>
      </c>
      <c r="H129" s="2"/>
      <c r="I129" s="77"/>
      <c r="J129" s="78">
        <v>100</v>
      </c>
      <c r="K129" s="78"/>
      <c r="L129" s="78"/>
      <c r="M129" s="78"/>
      <c r="N129" s="108"/>
      <c r="O129" s="108"/>
      <c r="P129" s="108"/>
      <c r="Q129" s="108"/>
      <c r="R129" s="108"/>
      <c r="S129" s="108"/>
      <c r="T129" s="108"/>
      <c r="U129" s="109"/>
      <c r="V129" s="2">
        <f t="shared" si="114"/>
        <v>135</v>
      </c>
      <c r="W129" s="10"/>
      <c r="X129" s="11">
        <f t="shared" si="115"/>
        <v>264</v>
      </c>
      <c r="Y129" s="10"/>
      <c r="Z129" s="12">
        <f t="shared" si="123"/>
        <v>142</v>
      </c>
      <c r="AA129" s="12">
        <f t="shared" si="124"/>
        <v>242</v>
      </c>
      <c r="AB129" s="2">
        <f t="shared" si="116"/>
        <v>384</v>
      </c>
      <c r="AC129" s="2">
        <f t="shared" si="117"/>
        <v>120</v>
      </c>
      <c r="AE129" s="9" t="s">
        <v>23</v>
      </c>
      <c r="AF129" s="2">
        <v>241</v>
      </c>
      <c r="AG129" s="99">
        <f>ROUND(Load!$G$43+'2022'!$E$150*0.485/720,0)</f>
        <v>158</v>
      </c>
      <c r="AH129" s="2">
        <f t="shared" si="118"/>
        <v>399</v>
      </c>
      <c r="AI129" s="9" t="s">
        <v>23</v>
      </c>
      <c r="AJ129" s="2"/>
      <c r="AK129" s="2">
        <v>35</v>
      </c>
      <c r="AL129" s="314"/>
      <c r="AM129" s="77"/>
      <c r="AN129" s="78">
        <v>100</v>
      </c>
      <c r="AO129" s="78"/>
      <c r="AP129" s="78"/>
      <c r="AQ129" s="78"/>
      <c r="AR129" s="108"/>
      <c r="AS129" s="108"/>
      <c r="AT129" s="108"/>
      <c r="AU129" s="108"/>
      <c r="AV129" s="108"/>
      <c r="AW129" s="108"/>
      <c r="AX129" s="108"/>
      <c r="AY129" s="109"/>
      <c r="AZ129" s="2">
        <f t="shared" si="119"/>
        <v>135</v>
      </c>
      <c r="BA129" s="10"/>
      <c r="BB129" s="11">
        <f t="shared" si="120"/>
        <v>264</v>
      </c>
      <c r="BC129" s="10"/>
      <c r="BD129" s="12">
        <f>142-AJ129-AL129-AQ129</f>
        <v>142</v>
      </c>
      <c r="BE129" s="12">
        <f t="shared" si="126"/>
        <v>242</v>
      </c>
      <c r="BF129" s="2">
        <f t="shared" si="121"/>
        <v>384</v>
      </c>
      <c r="BG129" s="2">
        <f t="shared" si="122"/>
        <v>120</v>
      </c>
    </row>
    <row r="130" spans="1:59" x14ac:dyDescent="0.3">
      <c r="A130" s="9" t="s">
        <v>24</v>
      </c>
      <c r="B130" s="314">
        <v>241</v>
      </c>
      <c r="C130" s="99">
        <f>ROUND(Load!$G$43+'2022'!$E$150*0.485/720,0)</f>
        <v>158</v>
      </c>
      <c r="D130" s="2">
        <f t="shared" si="113"/>
        <v>399</v>
      </c>
      <c r="E130" s="9" t="s">
        <v>24</v>
      </c>
      <c r="F130" s="2"/>
      <c r="G130" s="2">
        <v>35</v>
      </c>
      <c r="H130" s="2"/>
      <c r="I130" s="77"/>
      <c r="J130" s="78">
        <v>100</v>
      </c>
      <c r="K130" s="78"/>
      <c r="L130" s="78"/>
      <c r="M130" s="78"/>
      <c r="N130" s="108"/>
      <c r="O130" s="108"/>
      <c r="P130" s="108"/>
      <c r="Q130" s="108"/>
      <c r="R130" s="108"/>
      <c r="S130" s="108"/>
      <c r="T130" s="108"/>
      <c r="U130" s="109"/>
      <c r="V130" s="2">
        <f t="shared" si="114"/>
        <v>135</v>
      </c>
      <c r="W130" s="10"/>
      <c r="X130" s="11">
        <f t="shared" si="115"/>
        <v>264</v>
      </c>
      <c r="Y130" s="10"/>
      <c r="Z130" s="12">
        <f t="shared" si="123"/>
        <v>142</v>
      </c>
      <c r="AA130" s="12">
        <f t="shared" si="124"/>
        <v>242</v>
      </c>
      <c r="AB130" s="2">
        <f t="shared" si="116"/>
        <v>384</v>
      </c>
      <c r="AC130" s="2">
        <f t="shared" si="117"/>
        <v>120</v>
      </c>
      <c r="AE130" s="9" t="s">
        <v>24</v>
      </c>
      <c r="AF130" s="2">
        <v>241</v>
      </c>
      <c r="AG130" s="99">
        <f>ROUND(Load!$G$43+'2022'!$E$150*0.485/720,0)</f>
        <v>158</v>
      </c>
      <c r="AH130" s="2">
        <f t="shared" si="118"/>
        <v>399</v>
      </c>
      <c r="AI130" s="9" t="s">
        <v>24</v>
      </c>
      <c r="AJ130" s="2"/>
      <c r="AK130" s="2">
        <v>35</v>
      </c>
      <c r="AL130" s="314"/>
      <c r="AM130" s="77"/>
      <c r="AN130" s="78">
        <v>100</v>
      </c>
      <c r="AO130" s="78"/>
      <c r="AP130" s="78"/>
      <c r="AQ130" s="78"/>
      <c r="AR130" s="108"/>
      <c r="AS130" s="108"/>
      <c r="AT130" s="108"/>
      <c r="AU130" s="108"/>
      <c r="AV130" s="108"/>
      <c r="AW130" s="108"/>
      <c r="AX130" s="108"/>
      <c r="AY130" s="109"/>
      <c r="AZ130" s="2">
        <f t="shared" si="119"/>
        <v>135</v>
      </c>
      <c r="BA130" s="10"/>
      <c r="BB130" s="11">
        <f t="shared" si="120"/>
        <v>264</v>
      </c>
      <c r="BC130" s="10"/>
      <c r="BD130" s="12">
        <f t="shared" si="125"/>
        <v>142</v>
      </c>
      <c r="BE130" s="12">
        <f t="shared" si="126"/>
        <v>242</v>
      </c>
      <c r="BF130" s="2">
        <f t="shared" si="121"/>
        <v>384</v>
      </c>
      <c r="BG130" s="2">
        <f t="shared" si="122"/>
        <v>120</v>
      </c>
    </row>
    <row r="131" spans="1:59" x14ac:dyDescent="0.3">
      <c r="A131" s="9" t="s">
        <v>25</v>
      </c>
      <c r="B131" s="2"/>
      <c r="C131" s="99">
        <f>ROUND(Load!$G$43+'2022'!$E$150*0.485/720,0)</f>
        <v>158</v>
      </c>
      <c r="D131" s="2">
        <f t="shared" si="113"/>
        <v>158</v>
      </c>
      <c r="E131" s="9" t="s">
        <v>25</v>
      </c>
      <c r="F131" s="2">
        <f>'Hoover with 30 MW Solar'!$E$39</f>
        <v>32</v>
      </c>
      <c r="G131" s="2">
        <v>35</v>
      </c>
      <c r="H131" s="2">
        <v>41</v>
      </c>
      <c r="I131" s="77">
        <v>75</v>
      </c>
      <c r="J131" s="78"/>
      <c r="K131" s="78"/>
      <c r="L131" s="78"/>
      <c r="M131" s="78"/>
      <c r="N131" s="108"/>
      <c r="O131" s="108"/>
      <c r="P131" s="108"/>
      <c r="Q131" s="108"/>
      <c r="R131" s="108"/>
      <c r="S131" s="108"/>
      <c r="T131" s="108"/>
      <c r="U131" s="109"/>
      <c r="V131" s="2">
        <f t="shared" si="114"/>
        <v>183</v>
      </c>
      <c r="W131" s="10"/>
      <c r="X131" s="13">
        <f t="shared" si="115"/>
        <v>-25</v>
      </c>
      <c r="Y131" s="10"/>
      <c r="Z131" s="14">
        <f t="shared" si="123"/>
        <v>69</v>
      </c>
      <c r="AA131" s="14">
        <f>217-I131-J131</f>
        <v>142</v>
      </c>
      <c r="AB131" s="2">
        <f t="shared" si="116"/>
        <v>211</v>
      </c>
      <c r="AC131" s="2">
        <f t="shared" si="117"/>
        <v>236</v>
      </c>
      <c r="AE131" s="9" t="s">
        <v>25</v>
      </c>
      <c r="AF131" s="2"/>
      <c r="AG131" s="99">
        <f>ROUND(Load!$G$43+'2022'!$E$150*0.485/720,0)</f>
        <v>158</v>
      </c>
      <c r="AH131" s="2">
        <f t="shared" si="118"/>
        <v>158</v>
      </c>
      <c r="AI131" s="9" t="s">
        <v>25</v>
      </c>
      <c r="AJ131" s="2">
        <f>'Hoover with 30 MW Solar'!$E$39</f>
        <v>32</v>
      </c>
      <c r="AK131" s="2">
        <v>35</v>
      </c>
      <c r="AL131" s="314">
        <v>41</v>
      </c>
      <c r="AM131" s="77"/>
      <c r="AN131" s="78">
        <v>100</v>
      </c>
      <c r="AO131" s="78"/>
      <c r="AP131" s="78"/>
      <c r="AQ131" s="78"/>
      <c r="AR131" s="108"/>
      <c r="AS131" s="108"/>
      <c r="AT131" s="108"/>
      <c r="AU131" s="108"/>
      <c r="AV131" s="108"/>
      <c r="AW131" s="108"/>
      <c r="AX131" s="108"/>
      <c r="AY131" s="109"/>
      <c r="AZ131" s="2">
        <f t="shared" si="119"/>
        <v>208</v>
      </c>
      <c r="BA131" s="10"/>
      <c r="BB131" s="13">
        <f t="shared" si="120"/>
        <v>-50</v>
      </c>
      <c r="BC131" s="10"/>
      <c r="BD131" s="14">
        <f t="shared" si="125"/>
        <v>69</v>
      </c>
      <c r="BE131" s="14">
        <f t="shared" si="126"/>
        <v>242</v>
      </c>
      <c r="BF131" s="2">
        <f t="shared" si="121"/>
        <v>311</v>
      </c>
      <c r="BG131" s="2">
        <f t="shared" si="122"/>
        <v>361</v>
      </c>
    </row>
    <row r="132" spans="1:59" x14ac:dyDescent="0.3">
      <c r="A132" s="9" t="s">
        <v>26</v>
      </c>
      <c r="B132" s="2"/>
      <c r="C132" s="99">
        <f>ROUND(Load!$G$43+'2022'!$E$150*0.485/720,0)</f>
        <v>158</v>
      </c>
      <c r="D132" s="2">
        <f t="shared" si="113"/>
        <v>158</v>
      </c>
      <c r="E132" s="9" t="s">
        <v>26</v>
      </c>
      <c r="F132" s="2">
        <f>'Hoover with 30 MW Solar'!$E$39</f>
        <v>32</v>
      </c>
      <c r="G132" s="2">
        <v>35</v>
      </c>
      <c r="H132" s="2">
        <v>41</v>
      </c>
      <c r="I132" s="77">
        <v>75</v>
      </c>
      <c r="J132" s="78"/>
      <c r="K132" s="78"/>
      <c r="L132" s="78"/>
      <c r="M132" s="78"/>
      <c r="N132" s="108"/>
      <c r="O132" s="108"/>
      <c r="P132" s="108"/>
      <c r="Q132" s="108"/>
      <c r="R132" s="108"/>
      <c r="S132" s="108"/>
      <c r="T132" s="108"/>
      <c r="U132" s="109"/>
      <c r="V132" s="2">
        <f t="shared" si="114"/>
        <v>183</v>
      </c>
      <c r="W132" s="10"/>
      <c r="X132" s="13">
        <f t="shared" si="115"/>
        <v>-25</v>
      </c>
      <c r="Y132" s="10"/>
      <c r="Z132" s="14">
        <f t="shared" si="123"/>
        <v>69</v>
      </c>
      <c r="AA132" s="14">
        <f t="shared" ref="AA132:AA146" si="127">217-I132-J132</f>
        <v>142</v>
      </c>
      <c r="AB132" s="2">
        <f t="shared" si="116"/>
        <v>211</v>
      </c>
      <c r="AC132" s="2">
        <f t="shared" si="117"/>
        <v>236</v>
      </c>
      <c r="AE132" s="9" t="s">
        <v>26</v>
      </c>
      <c r="AF132" s="2"/>
      <c r="AG132" s="99">
        <f>ROUND(Load!$G$43+'2022'!$E$150*0.485/720,0)</f>
        <v>158</v>
      </c>
      <c r="AH132" s="2">
        <f t="shared" si="118"/>
        <v>158</v>
      </c>
      <c r="AI132" s="9" t="s">
        <v>26</v>
      </c>
      <c r="AJ132" s="2">
        <f>'Hoover with 30 MW Solar'!$E$39</f>
        <v>32</v>
      </c>
      <c r="AK132" s="2">
        <v>35</v>
      </c>
      <c r="AL132" s="314">
        <v>41</v>
      </c>
      <c r="AM132" s="77"/>
      <c r="AN132" s="78">
        <v>100</v>
      </c>
      <c r="AO132" s="78"/>
      <c r="AP132" s="78"/>
      <c r="AQ132" s="78"/>
      <c r="AR132" s="108"/>
      <c r="AS132" s="108"/>
      <c r="AT132" s="108"/>
      <c r="AU132" s="108"/>
      <c r="AV132" s="108"/>
      <c r="AW132" s="108"/>
      <c r="AX132" s="108"/>
      <c r="AY132" s="109"/>
      <c r="AZ132" s="2">
        <f t="shared" si="119"/>
        <v>208</v>
      </c>
      <c r="BA132" s="10"/>
      <c r="BB132" s="13">
        <f t="shared" si="120"/>
        <v>-50</v>
      </c>
      <c r="BC132" s="10"/>
      <c r="BD132" s="14">
        <f t="shared" si="125"/>
        <v>69</v>
      </c>
      <c r="BE132" s="14">
        <f t="shared" si="126"/>
        <v>242</v>
      </c>
      <c r="BF132" s="2">
        <f t="shared" si="121"/>
        <v>311</v>
      </c>
      <c r="BG132" s="2">
        <f t="shared" si="122"/>
        <v>361</v>
      </c>
    </row>
    <row r="133" spans="1:59" x14ac:dyDescent="0.3">
      <c r="A133" s="9" t="s">
        <v>27</v>
      </c>
      <c r="B133" s="2">
        <v>289</v>
      </c>
      <c r="C133" s="99">
        <f>ROUND(Load!$G$43+'2022'!$E$150*0.485/720,0)</f>
        <v>158</v>
      </c>
      <c r="D133" s="2">
        <f t="shared" si="113"/>
        <v>447</v>
      </c>
      <c r="E133" s="9" t="s">
        <v>27</v>
      </c>
      <c r="F133" s="2">
        <f>'Hoover with 30 MW Solar'!$E$39</f>
        <v>32</v>
      </c>
      <c r="G133" s="2">
        <v>35</v>
      </c>
      <c r="H133" s="2"/>
      <c r="I133" s="77">
        <v>75</v>
      </c>
      <c r="J133" s="78"/>
      <c r="K133" s="78"/>
      <c r="L133" s="78"/>
      <c r="M133" s="78"/>
      <c r="N133" s="108"/>
      <c r="O133" s="108"/>
      <c r="P133" s="108"/>
      <c r="Q133" s="108"/>
      <c r="R133" s="108"/>
      <c r="S133" s="108"/>
      <c r="T133" s="108"/>
      <c r="U133" s="109"/>
      <c r="V133" s="2">
        <f t="shared" si="114"/>
        <v>142</v>
      </c>
      <c r="W133" s="10"/>
      <c r="X133" s="13">
        <f t="shared" si="115"/>
        <v>305</v>
      </c>
      <c r="Y133" s="10"/>
      <c r="Z133" s="14">
        <f t="shared" si="123"/>
        <v>110</v>
      </c>
      <c r="AA133" s="14">
        <f t="shared" si="127"/>
        <v>142</v>
      </c>
      <c r="AB133" s="2">
        <f t="shared" si="116"/>
        <v>252</v>
      </c>
      <c r="AC133" s="2">
        <f t="shared" si="117"/>
        <v>-53</v>
      </c>
      <c r="AE133" s="9" t="s">
        <v>27</v>
      </c>
      <c r="AF133" s="2">
        <v>289</v>
      </c>
      <c r="AG133" s="99">
        <f>ROUND(Load!$G$43+'2022'!$E$150*0.485/720,0)</f>
        <v>158</v>
      </c>
      <c r="AH133" s="2">
        <f t="shared" si="118"/>
        <v>447</v>
      </c>
      <c r="AI133" s="9" t="s">
        <v>27</v>
      </c>
      <c r="AJ133" s="2">
        <f>'Hoover with 30 MW Solar'!$E$39</f>
        <v>32</v>
      </c>
      <c r="AK133" s="2">
        <v>35</v>
      </c>
      <c r="AL133" s="314"/>
      <c r="AM133" s="77"/>
      <c r="AN133" s="78">
        <v>100</v>
      </c>
      <c r="AO133" s="78"/>
      <c r="AP133" s="78"/>
      <c r="AQ133" s="78"/>
      <c r="AR133" s="108"/>
      <c r="AS133" s="108"/>
      <c r="AT133" s="108"/>
      <c r="AU133" s="108"/>
      <c r="AV133" s="108"/>
      <c r="AW133" s="108"/>
      <c r="AX133" s="108"/>
      <c r="AY133" s="109"/>
      <c r="AZ133" s="2">
        <f t="shared" si="119"/>
        <v>167</v>
      </c>
      <c r="BA133" s="10"/>
      <c r="BB133" s="13">
        <f t="shared" si="120"/>
        <v>280</v>
      </c>
      <c r="BC133" s="10"/>
      <c r="BD133" s="14">
        <f t="shared" si="125"/>
        <v>110</v>
      </c>
      <c r="BE133" s="14">
        <f t="shared" si="126"/>
        <v>242</v>
      </c>
      <c r="BF133" s="2">
        <f t="shared" si="121"/>
        <v>352</v>
      </c>
      <c r="BG133" s="2">
        <f t="shared" si="122"/>
        <v>72</v>
      </c>
    </row>
    <row r="134" spans="1:59" x14ac:dyDescent="0.3">
      <c r="A134" s="9" t="s">
        <v>28</v>
      </c>
      <c r="B134" s="314">
        <v>289</v>
      </c>
      <c r="C134" s="99">
        <f>ROUND(Load!$G$43+'2022'!$E$150*0.485/720,0)</f>
        <v>158</v>
      </c>
      <c r="D134" s="2">
        <f t="shared" si="113"/>
        <v>447</v>
      </c>
      <c r="E134" s="9" t="s">
        <v>28</v>
      </c>
      <c r="F134" s="2">
        <f>'Hoover with 30 MW Solar'!$E$39</f>
        <v>32</v>
      </c>
      <c r="G134" s="2">
        <v>35</v>
      </c>
      <c r="H134" s="2"/>
      <c r="I134" s="77">
        <v>75</v>
      </c>
      <c r="J134" s="78"/>
      <c r="K134" s="78"/>
      <c r="L134" s="78"/>
      <c r="M134" s="78"/>
      <c r="N134" s="108"/>
      <c r="O134" s="108"/>
      <c r="P134" s="108"/>
      <c r="Q134" s="108"/>
      <c r="R134" s="108"/>
      <c r="S134" s="108"/>
      <c r="T134" s="108"/>
      <c r="U134" s="109"/>
      <c r="V134" s="2">
        <f t="shared" si="114"/>
        <v>142</v>
      </c>
      <c r="W134" s="10"/>
      <c r="X134" s="13">
        <f t="shared" si="115"/>
        <v>305</v>
      </c>
      <c r="Y134" s="10"/>
      <c r="Z134" s="14">
        <f>142-F134-H134-M134</f>
        <v>110</v>
      </c>
      <c r="AA134" s="14">
        <f t="shared" si="127"/>
        <v>142</v>
      </c>
      <c r="AB134" s="2">
        <f t="shared" si="116"/>
        <v>252</v>
      </c>
      <c r="AC134" s="2">
        <f t="shared" si="117"/>
        <v>-53</v>
      </c>
      <c r="AE134" s="9" t="s">
        <v>28</v>
      </c>
      <c r="AF134" s="2">
        <v>289</v>
      </c>
      <c r="AG134" s="99">
        <f>ROUND(Load!$G$43+'2022'!$E$150*0.485/720,0)</f>
        <v>158</v>
      </c>
      <c r="AH134" s="2">
        <f t="shared" si="118"/>
        <v>447</v>
      </c>
      <c r="AI134" s="9" t="s">
        <v>28</v>
      </c>
      <c r="AJ134" s="2">
        <f>'Hoover with 30 MW Solar'!$E$39</f>
        <v>32</v>
      </c>
      <c r="AK134" s="2">
        <v>35</v>
      </c>
      <c r="AL134" s="314"/>
      <c r="AM134" s="77"/>
      <c r="AN134" s="78">
        <v>100</v>
      </c>
      <c r="AO134" s="78"/>
      <c r="AP134" s="78"/>
      <c r="AQ134" s="78"/>
      <c r="AR134" s="108"/>
      <c r="AS134" s="108"/>
      <c r="AT134" s="108"/>
      <c r="AU134" s="108"/>
      <c r="AV134" s="108"/>
      <c r="AW134" s="108"/>
      <c r="AX134" s="108"/>
      <c r="AY134" s="109"/>
      <c r="AZ134" s="2">
        <f t="shared" si="119"/>
        <v>167</v>
      </c>
      <c r="BA134" s="10"/>
      <c r="BB134" s="13">
        <f t="shared" si="120"/>
        <v>280</v>
      </c>
      <c r="BC134" s="10"/>
      <c r="BD134" s="14">
        <f t="shared" si="125"/>
        <v>110</v>
      </c>
      <c r="BE134" s="14">
        <f t="shared" si="126"/>
        <v>242</v>
      </c>
      <c r="BF134" s="2">
        <f t="shared" si="121"/>
        <v>352</v>
      </c>
      <c r="BG134" s="2">
        <f t="shared" si="122"/>
        <v>72</v>
      </c>
    </row>
    <row r="135" spans="1:59" x14ac:dyDescent="0.3">
      <c r="A135" s="9" t="s">
        <v>29</v>
      </c>
      <c r="B135" s="314">
        <v>289</v>
      </c>
      <c r="C135" s="99">
        <f>ROUND(Load!$G$43+'2022'!$E$150*0.485/720,0)</f>
        <v>158</v>
      </c>
      <c r="D135" s="2">
        <f t="shared" si="113"/>
        <v>447</v>
      </c>
      <c r="E135" s="9" t="s">
        <v>29</v>
      </c>
      <c r="F135" s="2">
        <f>'Hoover with 30 MW Solar'!$E$39</f>
        <v>32</v>
      </c>
      <c r="G135" s="2">
        <v>35</v>
      </c>
      <c r="H135" s="2"/>
      <c r="I135" s="77">
        <v>75</v>
      </c>
      <c r="J135" s="78"/>
      <c r="K135" s="78"/>
      <c r="L135" s="78"/>
      <c r="M135" s="78"/>
      <c r="N135" s="108"/>
      <c r="O135" s="108"/>
      <c r="P135" s="108"/>
      <c r="Q135" s="108"/>
      <c r="R135" s="108"/>
      <c r="S135" s="108"/>
      <c r="T135" s="108"/>
      <c r="U135" s="109"/>
      <c r="V135" s="2">
        <f t="shared" si="114"/>
        <v>142</v>
      </c>
      <c r="W135" s="10"/>
      <c r="X135" s="13">
        <f t="shared" si="115"/>
        <v>305</v>
      </c>
      <c r="Y135" s="10"/>
      <c r="Z135" s="14">
        <f t="shared" si="123"/>
        <v>110</v>
      </c>
      <c r="AA135" s="14">
        <f t="shared" si="127"/>
        <v>142</v>
      </c>
      <c r="AB135" s="2">
        <f t="shared" si="116"/>
        <v>252</v>
      </c>
      <c r="AC135" s="2">
        <f t="shared" si="117"/>
        <v>-53</v>
      </c>
      <c r="AE135" s="9" t="s">
        <v>29</v>
      </c>
      <c r="AF135" s="2">
        <v>289</v>
      </c>
      <c r="AG135" s="99">
        <f>ROUND(Load!$G$43+'2022'!$E$150*0.485/720,0)</f>
        <v>158</v>
      </c>
      <c r="AH135" s="2">
        <f t="shared" si="118"/>
        <v>447</v>
      </c>
      <c r="AI135" s="9" t="s">
        <v>29</v>
      </c>
      <c r="AJ135" s="2">
        <f>'Hoover with 30 MW Solar'!$E$39</f>
        <v>32</v>
      </c>
      <c r="AK135" s="2">
        <v>35</v>
      </c>
      <c r="AL135" s="314"/>
      <c r="AM135" s="77"/>
      <c r="AN135" s="78">
        <v>100</v>
      </c>
      <c r="AO135" s="78"/>
      <c r="AP135" s="78"/>
      <c r="AQ135" s="78"/>
      <c r="AR135" s="108"/>
      <c r="AS135" s="108"/>
      <c r="AT135" s="108"/>
      <c r="AU135" s="108"/>
      <c r="AV135" s="108"/>
      <c r="AW135" s="108"/>
      <c r="AX135" s="108"/>
      <c r="AY135" s="109"/>
      <c r="AZ135" s="2">
        <f t="shared" si="119"/>
        <v>167</v>
      </c>
      <c r="BA135" s="10"/>
      <c r="BB135" s="13">
        <f t="shared" si="120"/>
        <v>280</v>
      </c>
      <c r="BC135" s="10"/>
      <c r="BD135" s="14">
        <f t="shared" si="125"/>
        <v>110</v>
      </c>
      <c r="BE135" s="14">
        <f t="shared" si="126"/>
        <v>242</v>
      </c>
      <c r="BF135" s="2">
        <f t="shared" si="121"/>
        <v>352</v>
      </c>
      <c r="BG135" s="2">
        <f t="shared" si="122"/>
        <v>72</v>
      </c>
    </row>
    <row r="136" spans="1:59" x14ac:dyDescent="0.3">
      <c r="A136" s="9" t="s">
        <v>30</v>
      </c>
      <c r="B136" s="314">
        <v>289</v>
      </c>
      <c r="C136" s="99">
        <f>ROUND(Load!$G$43+'2022'!$E$150*0.485/720,0)</f>
        <v>158</v>
      </c>
      <c r="D136" s="2">
        <f t="shared" si="113"/>
        <v>447</v>
      </c>
      <c r="E136" s="9" t="s">
        <v>30</v>
      </c>
      <c r="F136" s="2">
        <f>'Hoover with 30 MW Solar'!$E$39</f>
        <v>32</v>
      </c>
      <c r="G136" s="2">
        <v>35</v>
      </c>
      <c r="H136" s="2"/>
      <c r="I136" s="77">
        <v>75</v>
      </c>
      <c r="J136" s="78"/>
      <c r="K136" s="78"/>
      <c r="L136" s="78"/>
      <c r="M136" s="78"/>
      <c r="N136" s="108"/>
      <c r="O136" s="108"/>
      <c r="P136" s="108"/>
      <c r="Q136" s="108"/>
      <c r="R136" s="108"/>
      <c r="S136" s="108"/>
      <c r="T136" s="108"/>
      <c r="U136" s="109"/>
      <c r="V136" s="2">
        <f t="shared" si="114"/>
        <v>142</v>
      </c>
      <c r="W136" s="10"/>
      <c r="X136" s="13">
        <f t="shared" si="115"/>
        <v>305</v>
      </c>
      <c r="Y136" s="10"/>
      <c r="Z136" s="14">
        <f t="shared" si="123"/>
        <v>110</v>
      </c>
      <c r="AA136" s="14">
        <f t="shared" si="127"/>
        <v>142</v>
      </c>
      <c r="AB136" s="2">
        <f t="shared" si="116"/>
        <v>252</v>
      </c>
      <c r="AC136" s="2">
        <f t="shared" si="117"/>
        <v>-53</v>
      </c>
      <c r="AE136" s="9" t="s">
        <v>30</v>
      </c>
      <c r="AF136" s="2">
        <v>289</v>
      </c>
      <c r="AG136" s="99">
        <f>ROUND(Load!$G$43+'2022'!$E$150*0.485/720,0)</f>
        <v>158</v>
      </c>
      <c r="AH136" s="2">
        <f t="shared" si="118"/>
        <v>447</v>
      </c>
      <c r="AI136" s="9" t="s">
        <v>30</v>
      </c>
      <c r="AJ136" s="2">
        <f>'Hoover with 30 MW Solar'!$E$39</f>
        <v>32</v>
      </c>
      <c r="AK136" s="2">
        <v>35</v>
      </c>
      <c r="AL136" s="314"/>
      <c r="AM136" s="77"/>
      <c r="AN136" s="78">
        <v>100</v>
      </c>
      <c r="AO136" s="78"/>
      <c r="AP136" s="78"/>
      <c r="AQ136" s="78"/>
      <c r="AR136" s="108"/>
      <c r="AS136" s="108"/>
      <c r="AT136" s="108"/>
      <c r="AU136" s="108"/>
      <c r="AV136" s="108"/>
      <c r="AW136" s="108"/>
      <c r="AX136" s="108"/>
      <c r="AY136" s="109"/>
      <c r="AZ136" s="2">
        <f t="shared" si="119"/>
        <v>167</v>
      </c>
      <c r="BA136" s="10"/>
      <c r="BB136" s="13">
        <f t="shared" si="120"/>
        <v>280</v>
      </c>
      <c r="BC136" s="10"/>
      <c r="BD136" s="14">
        <f t="shared" si="125"/>
        <v>110</v>
      </c>
      <c r="BE136" s="14">
        <f t="shared" si="126"/>
        <v>242</v>
      </c>
      <c r="BF136" s="2">
        <f t="shared" si="121"/>
        <v>352</v>
      </c>
      <c r="BG136" s="2">
        <f t="shared" si="122"/>
        <v>72</v>
      </c>
    </row>
    <row r="137" spans="1:59" x14ac:dyDescent="0.3">
      <c r="A137" s="9" t="s">
        <v>31</v>
      </c>
      <c r="B137" s="314">
        <v>289</v>
      </c>
      <c r="C137" s="99">
        <f>ROUND(Load!$G$43+'2022'!$E$150*0.485/720,0)</f>
        <v>158</v>
      </c>
      <c r="D137" s="2">
        <f t="shared" si="113"/>
        <v>447</v>
      </c>
      <c r="E137" s="9" t="s">
        <v>31</v>
      </c>
      <c r="F137" s="2">
        <f>'Hoover with 30 MW Solar'!$E$39</f>
        <v>32</v>
      </c>
      <c r="G137" s="2">
        <v>35</v>
      </c>
      <c r="H137" s="2"/>
      <c r="I137" s="77">
        <v>75</v>
      </c>
      <c r="J137" s="78"/>
      <c r="K137" s="78"/>
      <c r="L137" s="78"/>
      <c r="M137" s="78"/>
      <c r="N137" s="108"/>
      <c r="O137" s="108"/>
      <c r="P137" s="108"/>
      <c r="Q137" s="108"/>
      <c r="R137" s="108"/>
      <c r="S137" s="108"/>
      <c r="T137" s="108"/>
      <c r="U137" s="109"/>
      <c r="V137" s="2">
        <f t="shared" si="114"/>
        <v>142</v>
      </c>
      <c r="W137" s="10"/>
      <c r="X137" s="13">
        <f t="shared" si="115"/>
        <v>305</v>
      </c>
      <c r="Y137" s="10"/>
      <c r="Z137" s="14">
        <f t="shared" si="123"/>
        <v>110</v>
      </c>
      <c r="AA137" s="14">
        <f t="shared" si="127"/>
        <v>142</v>
      </c>
      <c r="AB137" s="2">
        <f t="shared" si="116"/>
        <v>252</v>
      </c>
      <c r="AC137" s="2">
        <f t="shared" si="117"/>
        <v>-53</v>
      </c>
      <c r="AE137" s="9" t="s">
        <v>31</v>
      </c>
      <c r="AF137" s="2">
        <v>289</v>
      </c>
      <c r="AG137" s="99">
        <f>ROUND(Load!$G$43+'2022'!$E$150*0.485/720,0)</f>
        <v>158</v>
      </c>
      <c r="AH137" s="2">
        <f t="shared" si="118"/>
        <v>447</v>
      </c>
      <c r="AI137" s="9" t="s">
        <v>31</v>
      </c>
      <c r="AJ137" s="2">
        <f>'Hoover with 30 MW Solar'!$E$39</f>
        <v>32</v>
      </c>
      <c r="AK137" s="2">
        <v>35</v>
      </c>
      <c r="AL137" s="314"/>
      <c r="AM137" s="77"/>
      <c r="AN137" s="78">
        <v>100</v>
      </c>
      <c r="AO137" s="78"/>
      <c r="AP137" s="78"/>
      <c r="AQ137" s="78"/>
      <c r="AR137" s="108"/>
      <c r="AS137" s="108"/>
      <c r="AT137" s="108"/>
      <c r="AU137" s="108"/>
      <c r="AV137" s="108"/>
      <c r="AW137" s="108"/>
      <c r="AX137" s="108"/>
      <c r="AY137" s="109"/>
      <c r="AZ137" s="2">
        <f t="shared" si="119"/>
        <v>167</v>
      </c>
      <c r="BA137" s="10"/>
      <c r="BB137" s="13">
        <f t="shared" si="120"/>
        <v>280</v>
      </c>
      <c r="BC137" s="10"/>
      <c r="BD137" s="14">
        <f t="shared" si="125"/>
        <v>110</v>
      </c>
      <c r="BE137" s="14">
        <f t="shared" si="126"/>
        <v>242</v>
      </c>
      <c r="BF137" s="2">
        <f t="shared" si="121"/>
        <v>352</v>
      </c>
      <c r="BG137" s="2">
        <f t="shared" si="122"/>
        <v>72</v>
      </c>
    </row>
    <row r="138" spans="1:59" x14ac:dyDescent="0.3">
      <c r="A138" s="9" t="s">
        <v>32</v>
      </c>
      <c r="B138" s="314">
        <v>289</v>
      </c>
      <c r="C138" s="99">
        <f>ROUND(Load!$G$43+'2022'!$E$150*0.485/720,0)</f>
        <v>158</v>
      </c>
      <c r="D138" s="2">
        <f t="shared" si="113"/>
        <v>447</v>
      </c>
      <c r="E138" s="9" t="s">
        <v>32</v>
      </c>
      <c r="F138" s="2">
        <f>'Hoover with 30 MW Solar'!$E$39</f>
        <v>32</v>
      </c>
      <c r="G138" s="2">
        <v>35</v>
      </c>
      <c r="H138" s="2"/>
      <c r="I138" s="77">
        <v>75</v>
      </c>
      <c r="J138" s="78"/>
      <c r="K138" s="78"/>
      <c r="L138" s="78"/>
      <c r="M138" s="78"/>
      <c r="N138" s="108"/>
      <c r="O138" s="108"/>
      <c r="P138" s="108"/>
      <c r="Q138" s="108"/>
      <c r="R138" s="108"/>
      <c r="S138" s="108"/>
      <c r="T138" s="108"/>
      <c r="U138" s="109"/>
      <c r="V138" s="2">
        <f t="shared" si="114"/>
        <v>142</v>
      </c>
      <c r="W138" s="10"/>
      <c r="X138" s="13">
        <f t="shared" si="115"/>
        <v>305</v>
      </c>
      <c r="Y138" s="10"/>
      <c r="Z138" s="14">
        <f t="shared" si="123"/>
        <v>110</v>
      </c>
      <c r="AA138" s="14">
        <f t="shared" si="127"/>
        <v>142</v>
      </c>
      <c r="AB138" s="2">
        <f t="shared" si="116"/>
        <v>252</v>
      </c>
      <c r="AC138" s="2">
        <f t="shared" si="117"/>
        <v>-53</v>
      </c>
      <c r="AE138" s="9" t="s">
        <v>32</v>
      </c>
      <c r="AF138" s="2">
        <v>289</v>
      </c>
      <c r="AG138" s="99">
        <f>ROUND(Load!$G$43+'2022'!$E$150*0.485/720,0)</f>
        <v>158</v>
      </c>
      <c r="AH138" s="2">
        <f t="shared" si="118"/>
        <v>447</v>
      </c>
      <c r="AI138" s="9" t="s">
        <v>32</v>
      </c>
      <c r="AJ138" s="2">
        <f>'Hoover with 30 MW Solar'!$E$39</f>
        <v>32</v>
      </c>
      <c r="AK138" s="2">
        <v>35</v>
      </c>
      <c r="AL138" s="314"/>
      <c r="AM138" s="77"/>
      <c r="AN138" s="78">
        <v>100</v>
      </c>
      <c r="AO138" s="78"/>
      <c r="AP138" s="78"/>
      <c r="AQ138" s="78"/>
      <c r="AR138" s="108"/>
      <c r="AS138" s="108"/>
      <c r="AT138" s="108"/>
      <c r="AU138" s="108"/>
      <c r="AV138" s="108"/>
      <c r="AW138" s="108"/>
      <c r="AX138" s="108"/>
      <c r="AY138" s="109"/>
      <c r="AZ138" s="2">
        <f t="shared" si="119"/>
        <v>167</v>
      </c>
      <c r="BA138" s="10"/>
      <c r="BB138" s="13">
        <f t="shared" si="120"/>
        <v>280</v>
      </c>
      <c r="BC138" s="10"/>
      <c r="BD138" s="14">
        <f t="shared" si="125"/>
        <v>110</v>
      </c>
      <c r="BE138" s="14">
        <f t="shared" si="126"/>
        <v>242</v>
      </c>
      <c r="BF138" s="2">
        <f t="shared" si="121"/>
        <v>352</v>
      </c>
      <c r="BG138" s="2">
        <f t="shared" si="122"/>
        <v>72</v>
      </c>
    </row>
    <row r="139" spans="1:59" x14ac:dyDescent="0.3">
      <c r="A139" s="9" t="s">
        <v>33</v>
      </c>
      <c r="B139" s="314">
        <v>289</v>
      </c>
      <c r="C139" s="99">
        <f>ROUND(Load!$G$43+'2022'!$E$150*0.485/720,0)</f>
        <v>158</v>
      </c>
      <c r="D139" s="2">
        <f t="shared" si="113"/>
        <v>447</v>
      </c>
      <c r="E139" s="9" t="s">
        <v>33</v>
      </c>
      <c r="F139" s="2">
        <f>'Hoover with 30 MW Solar'!$E$39</f>
        <v>32</v>
      </c>
      <c r="G139" s="2">
        <v>35</v>
      </c>
      <c r="H139" s="2"/>
      <c r="I139" s="77">
        <v>75</v>
      </c>
      <c r="J139" s="78"/>
      <c r="K139" s="78"/>
      <c r="L139" s="78"/>
      <c r="M139" s="78"/>
      <c r="N139" s="108"/>
      <c r="O139" s="108"/>
      <c r="P139" s="108"/>
      <c r="Q139" s="108"/>
      <c r="R139" s="108"/>
      <c r="S139" s="108"/>
      <c r="T139" s="108"/>
      <c r="U139" s="109"/>
      <c r="V139" s="2">
        <f t="shared" si="114"/>
        <v>142</v>
      </c>
      <c r="W139" s="10"/>
      <c r="X139" s="13">
        <f t="shared" si="115"/>
        <v>305</v>
      </c>
      <c r="Y139" s="10"/>
      <c r="Z139" s="14">
        <f t="shared" si="123"/>
        <v>110</v>
      </c>
      <c r="AA139" s="14">
        <f t="shared" si="127"/>
        <v>142</v>
      </c>
      <c r="AB139" s="2">
        <f t="shared" si="116"/>
        <v>252</v>
      </c>
      <c r="AC139" s="2">
        <f t="shared" si="117"/>
        <v>-53</v>
      </c>
      <c r="AE139" s="9" t="s">
        <v>33</v>
      </c>
      <c r="AF139" s="2">
        <v>289</v>
      </c>
      <c r="AG139" s="99">
        <f>ROUND(Load!$G$43+'2022'!$E$150*0.485/720,0)</f>
        <v>158</v>
      </c>
      <c r="AH139" s="2">
        <f t="shared" si="118"/>
        <v>447</v>
      </c>
      <c r="AI139" s="9" t="s">
        <v>33</v>
      </c>
      <c r="AJ139" s="2">
        <f>'Hoover with 30 MW Solar'!$E$39</f>
        <v>32</v>
      </c>
      <c r="AK139" s="2">
        <v>35</v>
      </c>
      <c r="AL139" s="314"/>
      <c r="AM139" s="77"/>
      <c r="AN139" s="78">
        <v>100</v>
      </c>
      <c r="AO139" s="78"/>
      <c r="AP139" s="78"/>
      <c r="AQ139" s="78"/>
      <c r="AR139" s="108"/>
      <c r="AS139" s="108"/>
      <c r="AT139" s="108"/>
      <c r="AU139" s="108"/>
      <c r="AV139" s="108"/>
      <c r="AW139" s="108"/>
      <c r="AX139" s="108"/>
      <c r="AY139" s="109"/>
      <c r="AZ139" s="2">
        <f t="shared" si="119"/>
        <v>167</v>
      </c>
      <c r="BA139" s="10"/>
      <c r="BB139" s="13">
        <f t="shared" si="120"/>
        <v>280</v>
      </c>
      <c r="BC139" s="10"/>
      <c r="BD139" s="14">
        <f t="shared" si="125"/>
        <v>110</v>
      </c>
      <c r="BE139" s="14">
        <f t="shared" si="126"/>
        <v>242</v>
      </c>
      <c r="BF139" s="2">
        <f t="shared" si="121"/>
        <v>352</v>
      </c>
      <c r="BG139" s="2">
        <f t="shared" si="122"/>
        <v>72</v>
      </c>
    </row>
    <row r="140" spans="1:59" x14ac:dyDescent="0.3">
      <c r="A140" s="9" t="s">
        <v>34</v>
      </c>
      <c r="B140" s="314">
        <v>289</v>
      </c>
      <c r="C140" s="99">
        <f>ROUND(Load!$G$43+'2022'!$E$150*0.485/720,0)</f>
        <v>158</v>
      </c>
      <c r="D140" s="2">
        <f t="shared" si="113"/>
        <v>447</v>
      </c>
      <c r="E140" s="9" t="s">
        <v>34</v>
      </c>
      <c r="F140" s="2">
        <f>'Hoover with 30 MW Solar'!$E$39</f>
        <v>32</v>
      </c>
      <c r="G140" s="2">
        <v>35</v>
      </c>
      <c r="H140" s="2"/>
      <c r="I140" s="77">
        <v>75</v>
      </c>
      <c r="J140" s="78"/>
      <c r="K140" s="78"/>
      <c r="L140" s="78"/>
      <c r="M140" s="78"/>
      <c r="N140" s="108"/>
      <c r="O140" s="108"/>
      <c r="P140" s="108"/>
      <c r="Q140" s="108"/>
      <c r="R140" s="108"/>
      <c r="S140" s="108"/>
      <c r="T140" s="108"/>
      <c r="U140" s="109"/>
      <c r="V140" s="2">
        <f t="shared" si="114"/>
        <v>142</v>
      </c>
      <c r="W140" s="10"/>
      <c r="X140" s="13">
        <f t="shared" si="115"/>
        <v>305</v>
      </c>
      <c r="Y140" s="10"/>
      <c r="Z140" s="14">
        <f t="shared" si="123"/>
        <v>110</v>
      </c>
      <c r="AA140" s="14">
        <f t="shared" si="127"/>
        <v>142</v>
      </c>
      <c r="AB140" s="2">
        <f t="shared" si="116"/>
        <v>252</v>
      </c>
      <c r="AC140" s="2">
        <f t="shared" si="117"/>
        <v>-53</v>
      </c>
      <c r="AE140" s="9" t="s">
        <v>34</v>
      </c>
      <c r="AF140" s="2">
        <v>289</v>
      </c>
      <c r="AG140" s="99">
        <f>ROUND(Load!$G$43+'2022'!$E$150*0.485/720,0)</f>
        <v>158</v>
      </c>
      <c r="AH140" s="2">
        <f t="shared" si="118"/>
        <v>447</v>
      </c>
      <c r="AI140" s="9" t="s">
        <v>34</v>
      </c>
      <c r="AJ140" s="2">
        <f>'Hoover with 30 MW Solar'!$E$39</f>
        <v>32</v>
      </c>
      <c r="AK140" s="2">
        <v>35</v>
      </c>
      <c r="AL140" s="314"/>
      <c r="AM140" s="77"/>
      <c r="AN140" s="78">
        <v>100</v>
      </c>
      <c r="AO140" s="78"/>
      <c r="AP140" s="78"/>
      <c r="AQ140" s="78"/>
      <c r="AR140" s="108"/>
      <c r="AS140" s="108"/>
      <c r="AT140" s="108"/>
      <c r="AU140" s="108"/>
      <c r="AV140" s="108"/>
      <c r="AW140" s="108"/>
      <c r="AX140" s="108"/>
      <c r="AY140" s="109"/>
      <c r="AZ140" s="2">
        <f t="shared" si="119"/>
        <v>167</v>
      </c>
      <c r="BA140" s="10"/>
      <c r="BB140" s="13">
        <f t="shared" si="120"/>
        <v>280</v>
      </c>
      <c r="BC140" s="10"/>
      <c r="BD140" s="14">
        <f t="shared" si="125"/>
        <v>110</v>
      </c>
      <c r="BE140" s="14">
        <f t="shared" si="126"/>
        <v>242</v>
      </c>
      <c r="BF140" s="2">
        <f t="shared" si="121"/>
        <v>352</v>
      </c>
      <c r="BG140" s="2">
        <f t="shared" si="122"/>
        <v>72</v>
      </c>
    </row>
    <row r="141" spans="1:59" x14ac:dyDescent="0.3">
      <c r="A141" s="9" t="s">
        <v>35</v>
      </c>
      <c r="B141" s="314">
        <v>289</v>
      </c>
      <c r="C141" s="99">
        <f>ROUND(Load!$G$43+'2022'!$E$150*0.485/720,0)</f>
        <v>158</v>
      </c>
      <c r="D141" s="2">
        <f t="shared" si="113"/>
        <v>447</v>
      </c>
      <c r="E141" s="9" t="s">
        <v>35</v>
      </c>
      <c r="F141" s="2">
        <f>'Hoover with 30 MW Solar'!$E$39</f>
        <v>32</v>
      </c>
      <c r="G141" s="2">
        <v>35</v>
      </c>
      <c r="H141" s="2"/>
      <c r="I141" s="77">
        <v>75</v>
      </c>
      <c r="J141" s="78"/>
      <c r="K141" s="78"/>
      <c r="L141" s="78"/>
      <c r="M141" s="78"/>
      <c r="N141" s="108"/>
      <c r="O141" s="108"/>
      <c r="P141" s="108"/>
      <c r="Q141" s="108"/>
      <c r="R141" s="108"/>
      <c r="S141" s="108"/>
      <c r="T141" s="108"/>
      <c r="U141" s="109"/>
      <c r="V141" s="2">
        <f t="shared" si="114"/>
        <v>142</v>
      </c>
      <c r="W141" s="10"/>
      <c r="X141" s="13">
        <f t="shared" si="115"/>
        <v>305</v>
      </c>
      <c r="Y141" s="10"/>
      <c r="Z141" s="14">
        <f t="shared" si="123"/>
        <v>110</v>
      </c>
      <c r="AA141" s="14">
        <f t="shared" si="127"/>
        <v>142</v>
      </c>
      <c r="AB141" s="2">
        <f t="shared" si="116"/>
        <v>252</v>
      </c>
      <c r="AC141" s="2">
        <f t="shared" si="117"/>
        <v>-53</v>
      </c>
      <c r="AE141" s="9" t="s">
        <v>35</v>
      </c>
      <c r="AF141" s="2">
        <v>289</v>
      </c>
      <c r="AG141" s="99">
        <f>ROUND(Load!$G$43+'2022'!$E$150*0.485/720,0)</f>
        <v>158</v>
      </c>
      <c r="AH141" s="2">
        <f t="shared" si="118"/>
        <v>447</v>
      </c>
      <c r="AI141" s="9" t="s">
        <v>35</v>
      </c>
      <c r="AJ141" s="2">
        <f>'Hoover with 30 MW Solar'!$E$39</f>
        <v>32</v>
      </c>
      <c r="AK141" s="2">
        <v>35</v>
      </c>
      <c r="AL141" s="314"/>
      <c r="AM141" s="77"/>
      <c r="AN141" s="78">
        <v>100</v>
      </c>
      <c r="AO141" s="78"/>
      <c r="AP141" s="78"/>
      <c r="AQ141" s="78"/>
      <c r="AR141" s="108"/>
      <c r="AS141" s="108"/>
      <c r="AT141" s="108"/>
      <c r="AU141" s="108"/>
      <c r="AV141" s="108"/>
      <c r="AW141" s="108"/>
      <c r="AX141" s="108"/>
      <c r="AY141" s="109"/>
      <c r="AZ141" s="2">
        <f t="shared" si="119"/>
        <v>167</v>
      </c>
      <c r="BA141" s="10"/>
      <c r="BB141" s="13">
        <f t="shared" si="120"/>
        <v>280</v>
      </c>
      <c r="BC141" s="10"/>
      <c r="BD141" s="14">
        <f t="shared" si="125"/>
        <v>110</v>
      </c>
      <c r="BE141" s="14">
        <f t="shared" si="126"/>
        <v>242</v>
      </c>
      <c r="BF141" s="2">
        <f t="shared" si="121"/>
        <v>352</v>
      </c>
      <c r="BG141" s="2">
        <f t="shared" si="122"/>
        <v>72</v>
      </c>
    </row>
    <row r="142" spans="1:59" x14ac:dyDescent="0.3">
      <c r="A142" s="9" t="s">
        <v>36</v>
      </c>
      <c r="B142" s="2"/>
      <c r="C142" s="99">
        <f>ROUND(Load!$G$43+'2022'!$E$150*0.485/720,0)</f>
        <v>158</v>
      </c>
      <c r="D142" s="2">
        <f t="shared" si="113"/>
        <v>158</v>
      </c>
      <c r="E142" s="9" t="s">
        <v>36</v>
      </c>
      <c r="F142" s="2">
        <f>'Hoover with 30 MW Solar'!$E$39</f>
        <v>32</v>
      </c>
      <c r="G142" s="2">
        <v>35</v>
      </c>
      <c r="H142" s="2"/>
      <c r="I142" s="77">
        <v>75</v>
      </c>
      <c r="J142" s="78"/>
      <c r="K142" s="78"/>
      <c r="L142" s="78"/>
      <c r="M142" s="78"/>
      <c r="N142" s="108"/>
      <c r="O142" s="108"/>
      <c r="P142" s="108"/>
      <c r="Q142" s="108"/>
      <c r="R142" s="108"/>
      <c r="S142" s="108"/>
      <c r="T142" s="108"/>
      <c r="U142" s="109"/>
      <c r="V142" s="2">
        <f t="shared" si="114"/>
        <v>142</v>
      </c>
      <c r="W142" s="10"/>
      <c r="X142" s="13">
        <f t="shared" si="115"/>
        <v>16</v>
      </c>
      <c r="Y142" s="10"/>
      <c r="Z142" s="14">
        <f t="shared" si="123"/>
        <v>110</v>
      </c>
      <c r="AA142" s="14">
        <f t="shared" si="127"/>
        <v>142</v>
      </c>
      <c r="AB142" s="2">
        <f t="shared" si="116"/>
        <v>252</v>
      </c>
      <c r="AC142" s="2">
        <f t="shared" si="117"/>
        <v>236</v>
      </c>
      <c r="AE142" s="9" t="s">
        <v>36</v>
      </c>
      <c r="AF142" s="2"/>
      <c r="AG142" s="99">
        <f>ROUND(Load!$G$43+'2022'!$E$150*0.485/720,0)</f>
        <v>158</v>
      </c>
      <c r="AH142" s="2">
        <f t="shared" si="118"/>
        <v>158</v>
      </c>
      <c r="AI142" s="9" t="s">
        <v>36</v>
      </c>
      <c r="AJ142" s="2">
        <f>'Hoover with 30 MW Solar'!$E$39</f>
        <v>32</v>
      </c>
      <c r="AK142" s="2">
        <v>35</v>
      </c>
      <c r="AL142" s="314"/>
      <c r="AM142" s="77"/>
      <c r="AN142" s="78">
        <v>100</v>
      </c>
      <c r="AO142" s="78"/>
      <c r="AP142" s="78"/>
      <c r="AQ142" s="78"/>
      <c r="AR142" s="108"/>
      <c r="AS142" s="108"/>
      <c r="AT142" s="108"/>
      <c r="AU142" s="108"/>
      <c r="AV142" s="108"/>
      <c r="AW142" s="108"/>
      <c r="AX142" s="108"/>
      <c r="AY142" s="109"/>
      <c r="AZ142" s="2">
        <f t="shared" si="119"/>
        <v>167</v>
      </c>
      <c r="BA142" s="10"/>
      <c r="BB142" s="13">
        <f t="shared" si="120"/>
        <v>-9</v>
      </c>
      <c r="BC142" s="10"/>
      <c r="BD142" s="14">
        <f t="shared" si="125"/>
        <v>110</v>
      </c>
      <c r="BE142" s="14">
        <f t="shared" si="126"/>
        <v>242</v>
      </c>
      <c r="BF142" s="2">
        <f t="shared" si="121"/>
        <v>352</v>
      </c>
      <c r="BG142" s="2">
        <f t="shared" si="122"/>
        <v>361</v>
      </c>
    </row>
    <row r="143" spans="1:59" x14ac:dyDescent="0.3">
      <c r="A143" s="9" t="s">
        <v>37</v>
      </c>
      <c r="B143" s="2"/>
      <c r="C143" s="99">
        <f>ROUND(Load!$G$43+'2022'!$E$150*0.485/720,0)</f>
        <v>158</v>
      </c>
      <c r="D143" s="2">
        <f t="shared" si="113"/>
        <v>158</v>
      </c>
      <c r="E143" s="9" t="s">
        <v>37</v>
      </c>
      <c r="F143" s="2">
        <f>'Hoover with 30 MW Solar'!$E$39</f>
        <v>32</v>
      </c>
      <c r="G143" s="2">
        <v>35</v>
      </c>
      <c r="H143" s="2">
        <v>41</v>
      </c>
      <c r="I143" s="77">
        <v>75</v>
      </c>
      <c r="J143" s="78"/>
      <c r="K143" s="78"/>
      <c r="L143" s="78"/>
      <c r="M143" s="78"/>
      <c r="N143" s="108"/>
      <c r="O143" s="108"/>
      <c r="P143" s="108"/>
      <c r="Q143" s="108"/>
      <c r="R143" s="108"/>
      <c r="S143" s="108"/>
      <c r="T143" s="108"/>
      <c r="U143" s="109"/>
      <c r="V143" s="2">
        <f t="shared" si="114"/>
        <v>183</v>
      </c>
      <c r="W143" s="10"/>
      <c r="X143" s="13">
        <f t="shared" si="115"/>
        <v>-25</v>
      </c>
      <c r="Y143" s="10"/>
      <c r="Z143" s="14">
        <f t="shared" si="123"/>
        <v>69</v>
      </c>
      <c r="AA143" s="14">
        <f t="shared" si="127"/>
        <v>142</v>
      </c>
      <c r="AB143" s="2">
        <f t="shared" si="116"/>
        <v>211</v>
      </c>
      <c r="AC143" s="2">
        <f t="shared" si="117"/>
        <v>236</v>
      </c>
      <c r="AE143" s="9" t="s">
        <v>37</v>
      </c>
      <c r="AF143" s="2"/>
      <c r="AG143" s="99">
        <f>ROUND(Load!$G$43+'2022'!$E$150*0.485/720,0)</f>
        <v>158</v>
      </c>
      <c r="AH143" s="2">
        <f t="shared" si="118"/>
        <v>158</v>
      </c>
      <c r="AI143" s="9" t="s">
        <v>37</v>
      </c>
      <c r="AJ143" s="2">
        <f>'Hoover with 30 MW Solar'!$E$39</f>
        <v>32</v>
      </c>
      <c r="AK143" s="2">
        <v>35</v>
      </c>
      <c r="AL143" s="314">
        <v>41</v>
      </c>
      <c r="AM143" s="77"/>
      <c r="AN143" s="78">
        <v>100</v>
      </c>
      <c r="AO143" s="78"/>
      <c r="AP143" s="78"/>
      <c r="AQ143" s="78"/>
      <c r="AR143" s="108"/>
      <c r="AS143" s="108"/>
      <c r="AT143" s="108"/>
      <c r="AU143" s="108"/>
      <c r="AV143" s="108"/>
      <c r="AW143" s="108"/>
      <c r="AX143" s="108"/>
      <c r="AY143" s="109"/>
      <c r="AZ143" s="2">
        <f t="shared" si="119"/>
        <v>208</v>
      </c>
      <c r="BA143" s="10"/>
      <c r="BB143" s="13">
        <f t="shared" si="120"/>
        <v>-50</v>
      </c>
      <c r="BC143" s="10"/>
      <c r="BD143" s="14">
        <f t="shared" si="125"/>
        <v>69</v>
      </c>
      <c r="BE143" s="14">
        <f t="shared" si="126"/>
        <v>242</v>
      </c>
      <c r="BF143" s="2">
        <f t="shared" si="121"/>
        <v>311</v>
      </c>
      <c r="BG143" s="2">
        <f t="shared" si="122"/>
        <v>361</v>
      </c>
    </row>
    <row r="144" spans="1:59" x14ac:dyDescent="0.3">
      <c r="A144" s="9" t="s">
        <v>38</v>
      </c>
      <c r="B144" s="2"/>
      <c r="C144" s="99">
        <f>ROUND(Load!$G$43+'2022'!$E$150*0.485/720,0)</f>
        <v>158</v>
      </c>
      <c r="D144" s="2">
        <f t="shared" si="113"/>
        <v>158</v>
      </c>
      <c r="E144" s="9" t="s">
        <v>38</v>
      </c>
      <c r="F144" s="2">
        <f>'Hoover with 30 MW Solar'!$E$39</f>
        <v>32</v>
      </c>
      <c r="G144" s="2">
        <v>35</v>
      </c>
      <c r="H144" s="2">
        <v>41</v>
      </c>
      <c r="I144" s="77">
        <v>75</v>
      </c>
      <c r="J144" s="78"/>
      <c r="K144" s="78"/>
      <c r="L144" s="78"/>
      <c r="M144" s="78"/>
      <c r="N144" s="108"/>
      <c r="O144" s="108"/>
      <c r="P144" s="108"/>
      <c r="Q144" s="108"/>
      <c r="R144" s="108"/>
      <c r="S144" s="108"/>
      <c r="T144" s="108"/>
      <c r="U144" s="109"/>
      <c r="V144" s="2">
        <f t="shared" si="114"/>
        <v>183</v>
      </c>
      <c r="W144" s="10"/>
      <c r="X144" s="13">
        <f t="shared" si="115"/>
        <v>-25</v>
      </c>
      <c r="Y144" s="10"/>
      <c r="Z144" s="14">
        <f>142-F144-H144-M144</f>
        <v>69</v>
      </c>
      <c r="AA144" s="14">
        <f t="shared" si="127"/>
        <v>142</v>
      </c>
      <c r="AB144" s="2">
        <f t="shared" si="116"/>
        <v>211</v>
      </c>
      <c r="AC144" s="2">
        <f t="shared" si="117"/>
        <v>236</v>
      </c>
      <c r="AE144" s="9" t="s">
        <v>38</v>
      </c>
      <c r="AF144" s="2"/>
      <c r="AG144" s="99">
        <f>ROUND(Load!$G$43+'2022'!$E$150*0.485/720,0)</f>
        <v>158</v>
      </c>
      <c r="AH144" s="2">
        <f t="shared" si="118"/>
        <v>158</v>
      </c>
      <c r="AI144" s="9" t="s">
        <v>38</v>
      </c>
      <c r="AJ144" s="2">
        <f>'Hoover with 30 MW Solar'!$E$39</f>
        <v>32</v>
      </c>
      <c r="AK144" s="2">
        <v>35</v>
      </c>
      <c r="AL144" s="314">
        <v>41</v>
      </c>
      <c r="AM144" s="77"/>
      <c r="AN144" s="78">
        <v>100</v>
      </c>
      <c r="AO144" s="78"/>
      <c r="AP144" s="78"/>
      <c r="AQ144" s="78"/>
      <c r="AR144" s="108"/>
      <c r="AS144" s="108"/>
      <c r="AT144" s="108"/>
      <c r="AU144" s="108"/>
      <c r="AV144" s="108"/>
      <c r="AW144" s="108"/>
      <c r="AX144" s="108"/>
      <c r="AY144" s="109"/>
      <c r="AZ144" s="2">
        <f t="shared" si="119"/>
        <v>208</v>
      </c>
      <c r="BA144" s="10"/>
      <c r="BB144" s="13">
        <f t="shared" si="120"/>
        <v>-50</v>
      </c>
      <c r="BC144" s="10"/>
      <c r="BD144" s="14">
        <f t="shared" si="125"/>
        <v>69</v>
      </c>
      <c r="BE144" s="14">
        <f t="shared" si="126"/>
        <v>242</v>
      </c>
      <c r="BF144" s="2">
        <f t="shared" si="121"/>
        <v>311</v>
      </c>
      <c r="BG144" s="2">
        <f t="shared" si="122"/>
        <v>361</v>
      </c>
    </row>
    <row r="145" spans="1:59" x14ac:dyDescent="0.3">
      <c r="A145" s="9" t="s">
        <v>39</v>
      </c>
      <c r="B145" s="2"/>
      <c r="C145" s="99">
        <f>ROUND(Load!$G$43+'2022'!$E$150*0.485/720,0)</f>
        <v>158</v>
      </c>
      <c r="D145" s="2">
        <f t="shared" si="113"/>
        <v>158</v>
      </c>
      <c r="E145" s="9" t="s">
        <v>39</v>
      </c>
      <c r="F145" s="2">
        <f>'Hoover with 30 MW Solar'!$E$39</f>
        <v>32</v>
      </c>
      <c r="G145" s="2">
        <v>35</v>
      </c>
      <c r="H145" s="2">
        <v>41</v>
      </c>
      <c r="I145" s="77">
        <v>75</v>
      </c>
      <c r="J145" s="78"/>
      <c r="K145" s="78"/>
      <c r="L145" s="78"/>
      <c r="M145" s="78"/>
      <c r="N145" s="108"/>
      <c r="O145" s="108"/>
      <c r="P145" s="108"/>
      <c r="Q145" s="108"/>
      <c r="R145" s="108"/>
      <c r="S145" s="108"/>
      <c r="T145" s="108"/>
      <c r="U145" s="109"/>
      <c r="V145" s="2">
        <f t="shared" si="114"/>
        <v>183</v>
      </c>
      <c r="W145" s="10"/>
      <c r="X145" s="13">
        <f t="shared" si="115"/>
        <v>-25</v>
      </c>
      <c r="Y145" s="10"/>
      <c r="Z145" s="14">
        <f t="shared" si="123"/>
        <v>69</v>
      </c>
      <c r="AA145" s="14">
        <f t="shared" si="127"/>
        <v>142</v>
      </c>
      <c r="AB145" s="2">
        <f t="shared" si="116"/>
        <v>211</v>
      </c>
      <c r="AC145" s="2">
        <f t="shared" si="117"/>
        <v>236</v>
      </c>
      <c r="AE145" s="9" t="s">
        <v>39</v>
      </c>
      <c r="AF145" s="2"/>
      <c r="AG145" s="99">
        <f>ROUND(Load!$G$43+'2022'!$E$150*0.485/720,0)</f>
        <v>158</v>
      </c>
      <c r="AH145" s="2">
        <f t="shared" si="118"/>
        <v>158</v>
      </c>
      <c r="AI145" s="9" t="s">
        <v>39</v>
      </c>
      <c r="AJ145" s="2">
        <f>'Hoover with 30 MW Solar'!$E$39</f>
        <v>32</v>
      </c>
      <c r="AK145" s="2">
        <v>35</v>
      </c>
      <c r="AL145" s="314">
        <v>41</v>
      </c>
      <c r="AM145" s="77"/>
      <c r="AN145" s="78">
        <v>100</v>
      </c>
      <c r="AO145" s="78"/>
      <c r="AP145" s="78"/>
      <c r="AQ145" s="78"/>
      <c r="AR145" s="108"/>
      <c r="AS145" s="108"/>
      <c r="AT145" s="108"/>
      <c r="AU145" s="108"/>
      <c r="AV145" s="108"/>
      <c r="AW145" s="108"/>
      <c r="AX145" s="108"/>
      <c r="AY145" s="109"/>
      <c r="AZ145" s="2">
        <f t="shared" si="119"/>
        <v>208</v>
      </c>
      <c r="BA145" s="10"/>
      <c r="BB145" s="13">
        <f t="shared" si="120"/>
        <v>-50</v>
      </c>
      <c r="BC145" s="10"/>
      <c r="BD145" s="14">
        <f>142-AJ145-AL145-AQ145</f>
        <v>69</v>
      </c>
      <c r="BE145" s="14">
        <f t="shared" si="126"/>
        <v>242</v>
      </c>
      <c r="BF145" s="2">
        <f t="shared" si="121"/>
        <v>311</v>
      </c>
      <c r="BG145" s="2">
        <f t="shared" si="122"/>
        <v>361</v>
      </c>
    </row>
    <row r="146" spans="1:59" x14ac:dyDescent="0.3">
      <c r="A146" s="9" t="s">
        <v>40</v>
      </c>
      <c r="B146" s="2"/>
      <c r="C146" s="99">
        <f>ROUND(Load!$G$43+'2022'!$E$150*0.485/720,0)</f>
        <v>158</v>
      </c>
      <c r="D146" s="2">
        <f t="shared" si="113"/>
        <v>158</v>
      </c>
      <c r="E146" s="9" t="s">
        <v>40</v>
      </c>
      <c r="F146" s="2">
        <f>'Hoover with 30 MW Solar'!$E$39</f>
        <v>32</v>
      </c>
      <c r="G146" s="2">
        <v>35</v>
      </c>
      <c r="H146" s="2">
        <v>41</v>
      </c>
      <c r="I146" s="77">
        <v>75</v>
      </c>
      <c r="J146" s="78"/>
      <c r="K146" s="78"/>
      <c r="L146" s="78"/>
      <c r="M146" s="78"/>
      <c r="N146" s="108"/>
      <c r="O146" s="108"/>
      <c r="P146" s="108"/>
      <c r="Q146" s="108"/>
      <c r="R146" s="108"/>
      <c r="S146" s="108"/>
      <c r="T146" s="108"/>
      <c r="U146" s="109"/>
      <c r="V146" s="2">
        <f t="shared" si="114"/>
        <v>183</v>
      </c>
      <c r="W146" s="10"/>
      <c r="X146" s="13">
        <f t="shared" si="115"/>
        <v>-25</v>
      </c>
      <c r="Y146" s="10"/>
      <c r="Z146" s="14">
        <f t="shared" si="123"/>
        <v>69</v>
      </c>
      <c r="AA146" s="14">
        <f t="shared" si="127"/>
        <v>142</v>
      </c>
      <c r="AB146" s="2">
        <f t="shared" si="116"/>
        <v>211</v>
      </c>
      <c r="AC146" s="2">
        <f t="shared" si="117"/>
        <v>236</v>
      </c>
      <c r="AE146" s="9" t="s">
        <v>40</v>
      </c>
      <c r="AF146" s="2"/>
      <c r="AG146" s="99">
        <f>ROUND(Load!$G$43+'2022'!$E$150*0.485/720,0)</f>
        <v>158</v>
      </c>
      <c r="AH146" s="2">
        <f t="shared" si="118"/>
        <v>158</v>
      </c>
      <c r="AI146" s="9" t="s">
        <v>40</v>
      </c>
      <c r="AJ146" s="2">
        <f>'Hoover with 30 MW Solar'!$E$39</f>
        <v>32</v>
      </c>
      <c r="AK146" s="2">
        <v>35</v>
      </c>
      <c r="AL146" s="314">
        <v>41</v>
      </c>
      <c r="AM146" s="77"/>
      <c r="AN146" s="78">
        <v>100</v>
      </c>
      <c r="AO146" s="78"/>
      <c r="AP146" s="78"/>
      <c r="AQ146" s="78"/>
      <c r="AR146" s="108"/>
      <c r="AS146" s="108"/>
      <c r="AT146" s="108"/>
      <c r="AU146" s="108"/>
      <c r="AV146" s="108"/>
      <c r="AW146" s="108"/>
      <c r="AX146" s="108"/>
      <c r="AY146" s="109"/>
      <c r="AZ146" s="2">
        <f t="shared" si="119"/>
        <v>208</v>
      </c>
      <c r="BA146" s="10"/>
      <c r="BB146" s="13">
        <f t="shared" si="120"/>
        <v>-50</v>
      </c>
      <c r="BC146" s="10"/>
      <c r="BD146" s="14">
        <f t="shared" si="125"/>
        <v>69</v>
      </c>
      <c r="BE146" s="14">
        <f t="shared" si="126"/>
        <v>242</v>
      </c>
      <c r="BF146" s="2">
        <f t="shared" si="121"/>
        <v>311</v>
      </c>
      <c r="BG146" s="2">
        <f t="shared" si="122"/>
        <v>361</v>
      </c>
    </row>
    <row r="147" spans="1:59" x14ac:dyDescent="0.3">
      <c r="A147" s="9" t="s">
        <v>41</v>
      </c>
      <c r="B147" s="2">
        <v>241</v>
      </c>
      <c r="C147" s="99">
        <f>ROUND(Load!$G$43+'2022'!$E$150*0.485/720,0)</f>
        <v>158</v>
      </c>
      <c r="D147" s="2">
        <f t="shared" si="113"/>
        <v>399</v>
      </c>
      <c r="E147" s="9" t="s">
        <v>41</v>
      </c>
      <c r="F147" s="2"/>
      <c r="G147" s="2">
        <v>35</v>
      </c>
      <c r="H147" s="2"/>
      <c r="I147" s="77"/>
      <c r="J147" s="78">
        <v>100</v>
      </c>
      <c r="K147" s="78"/>
      <c r="L147" s="78"/>
      <c r="M147" s="78"/>
      <c r="N147" s="108"/>
      <c r="O147" s="108"/>
      <c r="P147" s="108"/>
      <c r="Q147" s="108"/>
      <c r="R147" s="108"/>
      <c r="S147" s="108"/>
      <c r="T147" s="108"/>
      <c r="U147" s="109"/>
      <c r="V147" s="2">
        <f t="shared" si="114"/>
        <v>135</v>
      </c>
      <c r="W147" s="10"/>
      <c r="X147" s="11">
        <f t="shared" si="115"/>
        <v>264</v>
      </c>
      <c r="Y147" s="10"/>
      <c r="Z147" s="12">
        <f t="shared" si="123"/>
        <v>142</v>
      </c>
      <c r="AA147" s="12">
        <f t="shared" ref="AA147:AA148" si="128">342-I147-J147</f>
        <v>242</v>
      </c>
      <c r="AB147" s="2">
        <f t="shared" si="116"/>
        <v>384</v>
      </c>
      <c r="AC147" s="2">
        <f t="shared" si="117"/>
        <v>120</v>
      </c>
      <c r="AE147" s="9" t="s">
        <v>41</v>
      </c>
      <c r="AF147" s="2">
        <v>241</v>
      </c>
      <c r="AG147" s="99">
        <f>ROUND(Load!$G$43+'2022'!$E$150*0.485/720,0)</f>
        <v>158</v>
      </c>
      <c r="AH147" s="2">
        <f t="shared" si="118"/>
        <v>399</v>
      </c>
      <c r="AI147" s="9" t="s">
        <v>41</v>
      </c>
      <c r="AJ147" s="2"/>
      <c r="AK147" s="2">
        <v>35</v>
      </c>
      <c r="AL147" s="314"/>
      <c r="AM147" s="77"/>
      <c r="AN147" s="78">
        <v>100</v>
      </c>
      <c r="AO147" s="78"/>
      <c r="AP147" s="78"/>
      <c r="AQ147" s="78"/>
      <c r="AR147" s="108"/>
      <c r="AS147" s="108"/>
      <c r="AT147" s="108"/>
      <c r="AU147" s="108"/>
      <c r="AV147" s="108"/>
      <c r="AW147" s="108"/>
      <c r="AX147" s="108"/>
      <c r="AY147" s="109"/>
      <c r="AZ147" s="2">
        <f t="shared" si="119"/>
        <v>135</v>
      </c>
      <c r="BA147" s="10"/>
      <c r="BB147" s="11">
        <f t="shared" si="120"/>
        <v>264</v>
      </c>
      <c r="BC147" s="10"/>
      <c r="BD147" s="12">
        <f t="shared" si="125"/>
        <v>142</v>
      </c>
      <c r="BE147" s="12">
        <f t="shared" si="126"/>
        <v>242</v>
      </c>
      <c r="BF147" s="2">
        <f t="shared" si="121"/>
        <v>384</v>
      </c>
      <c r="BG147" s="2">
        <f t="shared" si="122"/>
        <v>120</v>
      </c>
    </row>
    <row r="148" spans="1:59" ht="15" thickBot="1" x14ac:dyDescent="0.35">
      <c r="A148" s="15" t="s">
        <v>42</v>
      </c>
      <c r="B148" s="16">
        <v>241</v>
      </c>
      <c r="C148" s="123">
        <f>ROUND(Load!$G$43+'2022'!$E$150*0.485/720,0)</f>
        <v>158</v>
      </c>
      <c r="D148" s="16">
        <f t="shared" si="113"/>
        <v>399</v>
      </c>
      <c r="E148" s="15" t="s">
        <v>42</v>
      </c>
      <c r="F148" s="16"/>
      <c r="G148" s="16">
        <v>35</v>
      </c>
      <c r="H148" s="16"/>
      <c r="I148" s="75"/>
      <c r="J148" s="76">
        <v>100</v>
      </c>
      <c r="K148" s="76"/>
      <c r="L148" s="76"/>
      <c r="M148" s="76"/>
      <c r="N148" s="106"/>
      <c r="O148" s="106"/>
      <c r="P148" s="106"/>
      <c r="Q148" s="106"/>
      <c r="R148" s="106"/>
      <c r="S148" s="106"/>
      <c r="T148" s="106"/>
      <c r="U148" s="107"/>
      <c r="V148" s="16">
        <f t="shared" si="114"/>
        <v>135</v>
      </c>
      <c r="W148" s="10"/>
      <c r="X148" s="17">
        <f t="shared" si="115"/>
        <v>264</v>
      </c>
      <c r="Y148" s="10"/>
      <c r="Z148" s="18">
        <f t="shared" si="123"/>
        <v>142</v>
      </c>
      <c r="AA148" s="18">
        <f t="shared" si="128"/>
        <v>242</v>
      </c>
      <c r="AB148" s="16">
        <f t="shared" si="116"/>
        <v>384</v>
      </c>
      <c r="AC148" s="16">
        <f t="shared" si="117"/>
        <v>120</v>
      </c>
      <c r="AE148" s="15" t="s">
        <v>42</v>
      </c>
      <c r="AF148" s="16">
        <v>241</v>
      </c>
      <c r="AG148" s="123">
        <f>ROUND(Load!$G$43+'2022'!$E$150*0.485/720,0)</f>
        <v>158</v>
      </c>
      <c r="AH148" s="16">
        <f t="shared" si="118"/>
        <v>399</v>
      </c>
      <c r="AI148" s="15" t="s">
        <v>42</v>
      </c>
      <c r="AJ148" s="16"/>
      <c r="AK148" s="16">
        <v>35</v>
      </c>
      <c r="AL148" s="16"/>
      <c r="AM148" s="75"/>
      <c r="AN148" s="76">
        <v>100</v>
      </c>
      <c r="AO148" s="76"/>
      <c r="AP148" s="76"/>
      <c r="AQ148" s="76"/>
      <c r="AR148" s="106"/>
      <c r="AS148" s="106"/>
      <c r="AT148" s="106"/>
      <c r="AU148" s="106"/>
      <c r="AV148" s="106"/>
      <c r="AW148" s="106"/>
      <c r="AX148" s="106"/>
      <c r="AY148" s="107"/>
      <c r="AZ148" s="16">
        <f t="shared" si="119"/>
        <v>135</v>
      </c>
      <c r="BA148" s="10"/>
      <c r="BB148" s="17">
        <f t="shared" si="120"/>
        <v>264</v>
      </c>
      <c r="BC148" s="10"/>
      <c r="BD148" s="18">
        <f t="shared" si="125"/>
        <v>142</v>
      </c>
      <c r="BE148" s="18">
        <f t="shared" si="126"/>
        <v>242</v>
      </c>
      <c r="BF148" s="16">
        <f t="shared" si="121"/>
        <v>384</v>
      </c>
      <c r="BG148" s="16">
        <f t="shared" si="122"/>
        <v>120</v>
      </c>
    </row>
    <row r="149" spans="1:59" ht="15" thickTop="1" x14ac:dyDescent="0.3">
      <c r="A149" s="2" t="s">
        <v>43</v>
      </c>
      <c r="B149" s="2">
        <f>SUM(B125:B148)</f>
        <v>4529</v>
      </c>
      <c r="C149" s="2">
        <f t="shared" ref="C149:D149" si="129">SUM(C125:C148)</f>
        <v>3792</v>
      </c>
      <c r="D149" s="2">
        <f t="shared" si="129"/>
        <v>8321</v>
      </c>
      <c r="E149" s="327" t="s">
        <v>406</v>
      </c>
      <c r="F149" s="2">
        <f t="shared" ref="F149:H149" si="130">SUM(F125:F148)</f>
        <v>512</v>
      </c>
      <c r="G149" s="2">
        <f t="shared" si="130"/>
        <v>840</v>
      </c>
      <c r="H149" s="2">
        <f t="shared" si="130"/>
        <v>246</v>
      </c>
      <c r="I149" s="2">
        <f>SUM(I125:I148)</f>
        <v>1200</v>
      </c>
      <c r="J149" s="2">
        <f t="shared" ref="J149:U149" si="131">SUM(J125:J148)</f>
        <v>800</v>
      </c>
      <c r="K149" s="2">
        <f t="shared" si="131"/>
        <v>0</v>
      </c>
      <c r="L149" s="2">
        <f t="shared" si="131"/>
        <v>0</v>
      </c>
      <c r="M149" s="2">
        <f t="shared" si="131"/>
        <v>0</v>
      </c>
      <c r="N149" s="2">
        <f t="shared" si="131"/>
        <v>0</v>
      </c>
      <c r="O149" s="2">
        <f t="shared" ref="O149:P149" si="132">SUM(O125:O148)</f>
        <v>0</v>
      </c>
      <c r="P149" s="2">
        <f t="shared" si="132"/>
        <v>0</v>
      </c>
      <c r="Q149" s="2">
        <f t="shared" ref="Q149" si="133">SUM(Q125:Q148)</f>
        <v>0</v>
      </c>
      <c r="R149" s="2">
        <f t="shared" ref="R149" si="134">SUM(R125:R148)</f>
        <v>0</v>
      </c>
      <c r="S149" s="2">
        <f t="shared" ref="S149" si="135">SUM(S125:S148)</f>
        <v>0</v>
      </c>
      <c r="T149" s="2">
        <f t="shared" ref="T149" si="136">SUM(T125:T148)</f>
        <v>0</v>
      </c>
      <c r="U149" s="2">
        <f t="shared" si="131"/>
        <v>0</v>
      </c>
      <c r="V149" s="2">
        <f>SUM(V125:V148)</f>
        <v>3598</v>
      </c>
      <c r="W149" s="10"/>
      <c r="X149" s="19">
        <f>SUM(X125:X148)</f>
        <v>4723</v>
      </c>
      <c r="Y149" s="10"/>
      <c r="Z149" s="19">
        <f>SUM(Z125:Z148)</f>
        <v>2650</v>
      </c>
      <c r="AA149" s="19">
        <f>SUM(AA125:AA148)</f>
        <v>4208</v>
      </c>
      <c r="AB149" s="19">
        <f>SUM(AB125:AB148)</f>
        <v>6858</v>
      </c>
      <c r="AC149" s="19">
        <f>SUM(AC125:AC148)</f>
        <v>2135</v>
      </c>
      <c r="AE149" s="2" t="s">
        <v>43</v>
      </c>
      <c r="AF149" s="2">
        <f>SUM(AF125:AF148)</f>
        <v>4529</v>
      </c>
      <c r="AG149" s="2">
        <f t="shared" ref="AG149:AH149" si="137">SUM(AG125:AG148)</f>
        <v>3792</v>
      </c>
      <c r="AH149" s="2">
        <f t="shared" si="137"/>
        <v>8321</v>
      </c>
      <c r="AI149" s="92"/>
      <c r="AJ149" s="2">
        <f t="shared" ref="AJ149:AL149" si="138">SUM(AJ125:AJ148)</f>
        <v>512</v>
      </c>
      <c r="AK149" s="2">
        <f t="shared" si="138"/>
        <v>840</v>
      </c>
      <c r="AL149" s="2">
        <f t="shared" si="138"/>
        <v>246</v>
      </c>
      <c r="AM149" s="2">
        <f>SUM(AM125:AM148)</f>
        <v>0</v>
      </c>
      <c r="AN149" s="2">
        <f t="shared" ref="AN149:AO149" si="139">SUM(AN125:AN148)</f>
        <v>2400</v>
      </c>
      <c r="AO149" s="2">
        <f t="shared" si="139"/>
        <v>0</v>
      </c>
      <c r="AP149" s="2">
        <f>SUM(AP125:AP148)</f>
        <v>0</v>
      </c>
      <c r="AQ149" s="2">
        <f t="shared" ref="AQ149:AY149" si="140">SUM(AQ125:AQ148)</f>
        <v>0</v>
      </c>
      <c r="AR149" s="2">
        <f t="shared" si="140"/>
        <v>0</v>
      </c>
      <c r="AS149" s="2">
        <f t="shared" si="140"/>
        <v>0</v>
      </c>
      <c r="AT149" s="2">
        <f t="shared" si="140"/>
        <v>0</v>
      </c>
      <c r="AU149" s="2">
        <f t="shared" si="140"/>
        <v>0</v>
      </c>
      <c r="AV149" s="2">
        <f t="shared" si="140"/>
        <v>0</v>
      </c>
      <c r="AW149" s="2">
        <f t="shared" si="140"/>
        <v>0</v>
      </c>
      <c r="AX149" s="2">
        <f t="shared" si="140"/>
        <v>0</v>
      </c>
      <c r="AY149" s="2">
        <f t="shared" si="140"/>
        <v>0</v>
      </c>
      <c r="AZ149" s="2">
        <f>SUM(AZ125:AZ148)</f>
        <v>3998</v>
      </c>
      <c r="BA149" s="10"/>
      <c r="BB149" s="19">
        <f>SUM(BB125:BB148)</f>
        <v>4323</v>
      </c>
      <c r="BC149" s="10"/>
      <c r="BD149" s="19">
        <f>SUM(BD125:BD148)</f>
        <v>2650</v>
      </c>
      <c r="BE149" s="19">
        <f>SUM(BE125:BE148)</f>
        <v>5808</v>
      </c>
      <c r="BF149" s="19">
        <f>SUM(BF125:BF148)</f>
        <v>8458</v>
      </c>
      <c r="BG149" s="19">
        <f>SUM(BG125:BG148)</f>
        <v>4135</v>
      </c>
    </row>
    <row r="150" spans="1:59" x14ac:dyDescent="0.3">
      <c r="A150" s="2" t="s">
        <v>44</v>
      </c>
      <c r="B150" s="2">
        <f>B149*(30-$AN122)</f>
        <v>117754</v>
      </c>
      <c r="C150" s="2">
        <f t="shared" ref="C150:D150" si="141">C149*(30-$AN122)</f>
        <v>98592</v>
      </c>
      <c r="D150" s="2">
        <f t="shared" si="141"/>
        <v>216346</v>
      </c>
      <c r="E150" s="328">
        <f>B150+AF150</f>
        <v>135870</v>
      </c>
      <c r="H150" s="124">
        <f>'Hoover with 30 MW Solar'!E44</f>
        <v>245.74694686666675</v>
      </c>
      <c r="I150" s="479" t="s">
        <v>470</v>
      </c>
      <c r="J150" s="2"/>
      <c r="K150" s="2"/>
      <c r="L150" s="2"/>
      <c r="M150" s="2"/>
      <c r="Q150" s="300" t="s">
        <v>379</v>
      </c>
      <c r="V150" s="2">
        <f>V149*30</f>
        <v>107940</v>
      </c>
      <c r="W150" s="35" t="s">
        <v>153</v>
      </c>
      <c r="X150" s="87">
        <f>-SUMIF(X125:X148,"&lt;0")</f>
        <v>150</v>
      </c>
      <c r="Y150" s="92">
        <f>X150*(30-AN122)</f>
        <v>3900</v>
      </c>
      <c r="Z150" s="92" t="s">
        <v>217</v>
      </c>
      <c r="AE150" s="2" t="s">
        <v>44</v>
      </c>
      <c r="AF150" s="2">
        <f>AF149*$AN122</f>
        <v>18116</v>
      </c>
      <c r="AG150" s="2">
        <f t="shared" ref="AG150:AH150" si="142">AG149*$AN122</f>
        <v>15168</v>
      </c>
      <c r="AH150" s="2">
        <f t="shared" si="142"/>
        <v>33284</v>
      </c>
      <c r="AI150" s="92"/>
      <c r="AJ150" s="92"/>
      <c r="AK150" s="92"/>
      <c r="AL150" s="124">
        <f>H150</f>
        <v>245.74694686666675</v>
      </c>
      <c r="AM150" s="2"/>
      <c r="AN150" s="2"/>
      <c r="AO150" s="2"/>
      <c r="AP150" s="2"/>
      <c r="AQ150" s="92"/>
      <c r="AR150" s="92"/>
      <c r="AS150" s="92"/>
      <c r="AT150" s="92"/>
      <c r="AU150" s="300" t="s">
        <v>379</v>
      </c>
      <c r="AV150" s="92"/>
      <c r="AW150" s="92"/>
      <c r="AX150" s="92"/>
      <c r="AY150" s="92"/>
      <c r="AZ150" s="2"/>
      <c r="BA150" s="35" t="s">
        <v>216</v>
      </c>
      <c r="BB150" s="87">
        <f>-SUMIF(BB125:BB148,"&lt;0")</f>
        <v>309</v>
      </c>
      <c r="BC150" s="92">
        <f>BB150*AN122</f>
        <v>1236</v>
      </c>
      <c r="BD150" s="92" t="s">
        <v>217</v>
      </c>
      <c r="BE150" s="92"/>
      <c r="BF150" s="92"/>
      <c r="BG150" s="92"/>
    </row>
    <row r="151" spans="1:59" x14ac:dyDescent="0.3">
      <c r="A151" s="2" t="s">
        <v>45</v>
      </c>
      <c r="B151" s="20">
        <f>ROUND(B149/48.35,0)</f>
        <v>94</v>
      </c>
      <c r="C151" s="294">
        <f>((B151*(30-AN122)+AF151*AN122)/30)</f>
        <v>94</v>
      </c>
      <c r="D151" s="294">
        <f>C151-Load!G35</f>
        <v>-1.8076416337285792</v>
      </c>
      <c r="F151" s="21">
        <v>24.99</v>
      </c>
      <c r="G151" s="62">
        <f>D488</f>
        <v>42.492262499999995</v>
      </c>
      <c r="H151" s="98">
        <f>$F$479</f>
        <v>43.87</v>
      </c>
      <c r="I151" s="21">
        <v>25.15</v>
      </c>
      <c r="J151" s="21">
        <v>21.61</v>
      </c>
      <c r="K151" s="21"/>
      <c r="L151" s="21"/>
      <c r="M151" s="21"/>
      <c r="N151" s="21"/>
      <c r="O151" s="21"/>
      <c r="P151" s="21"/>
      <c r="Q151" s="21"/>
      <c r="X151" s="11">
        <f>SUM(X147:X148,X125:X130)</f>
        <v>2112</v>
      </c>
      <c r="Y151" s="92">
        <f>Y150+BC150</f>
        <v>5136</v>
      </c>
      <c r="Z151" s="92" t="s">
        <v>236</v>
      </c>
      <c r="AA151" s="92"/>
      <c r="AE151" s="2" t="s">
        <v>45</v>
      </c>
      <c r="AF151" s="20">
        <f>ROUND(AF149/48.35,0)</f>
        <v>94</v>
      </c>
      <c r="AG151" s="92"/>
      <c r="AH151" s="92"/>
      <c r="AI151" s="92"/>
      <c r="AJ151" s="21"/>
      <c r="AK151" s="21"/>
      <c r="AL151" s="21"/>
      <c r="AM151" s="21">
        <v>25.15</v>
      </c>
      <c r="AN151" s="21">
        <v>21.61</v>
      </c>
      <c r="AO151" s="21"/>
      <c r="AP151" s="21"/>
      <c r="AQ151" s="21"/>
      <c r="AR151" s="313"/>
      <c r="AS151" s="313"/>
      <c r="AT151" s="313"/>
      <c r="AU151" s="313"/>
      <c r="AV151" s="313"/>
      <c r="AW151" s="313"/>
      <c r="AX151" s="313"/>
      <c r="AY151" s="313"/>
      <c r="AZ151" s="92"/>
      <c r="BA151" s="92"/>
      <c r="BB151" s="11">
        <f>SUM(BB147:BB148,BB125:BB130)</f>
        <v>2112</v>
      </c>
      <c r="BC151" s="92"/>
      <c r="BD151" s="92"/>
      <c r="BE151" s="92"/>
      <c r="BF151" s="92"/>
      <c r="BG151" s="92"/>
    </row>
    <row r="152" spans="1:59" x14ac:dyDescent="0.3">
      <c r="A152" s="2" t="s">
        <v>62</v>
      </c>
      <c r="B152" s="2">
        <f>SUM(B131:B146)</f>
        <v>2601</v>
      </c>
      <c r="C152" s="2">
        <f>SUM(C131:C146)</f>
        <v>2528</v>
      </c>
      <c r="F152" s="99">
        <f>'Hoover with 30 MW Solar'!E30</f>
        <v>8924.4084060000005</v>
      </c>
      <c r="G152" s="2">
        <f t="shared" ref="G152" si="143">G149*30</f>
        <v>25200</v>
      </c>
      <c r="H152" s="99">
        <f>'Hoover with 30 MW Solar'!E31</f>
        <v>13808</v>
      </c>
      <c r="I152" s="2">
        <f>I149*(30-$AN122)</f>
        <v>31200</v>
      </c>
      <c r="J152" s="2">
        <f t="shared" ref="J152:U152" si="144">J149*(30-$AN122)</f>
        <v>20800</v>
      </c>
      <c r="K152" s="2">
        <f t="shared" si="144"/>
        <v>0</v>
      </c>
      <c r="L152" s="2">
        <f t="shared" si="144"/>
        <v>0</v>
      </c>
      <c r="M152" s="2">
        <f t="shared" si="144"/>
        <v>0</v>
      </c>
      <c r="N152" s="2">
        <f t="shared" si="144"/>
        <v>0</v>
      </c>
      <c r="O152" s="2">
        <f t="shared" si="144"/>
        <v>0</v>
      </c>
      <c r="P152" s="2">
        <f t="shared" si="144"/>
        <v>0</v>
      </c>
      <c r="Q152" s="2">
        <f t="shared" si="144"/>
        <v>0</v>
      </c>
      <c r="R152" s="2">
        <f t="shared" si="144"/>
        <v>0</v>
      </c>
      <c r="S152" s="2">
        <f t="shared" si="144"/>
        <v>0</v>
      </c>
      <c r="T152" s="2">
        <f t="shared" si="144"/>
        <v>0</v>
      </c>
      <c r="U152" s="2">
        <f t="shared" si="144"/>
        <v>0</v>
      </c>
      <c r="X152" s="13">
        <f>SUM(X131:X146)</f>
        <v>2611</v>
      </c>
      <c r="AE152" s="2" t="s">
        <v>62</v>
      </c>
      <c r="AF152" s="2">
        <f>SUM(AF131:AF146)</f>
        <v>2601</v>
      </c>
      <c r="AG152" s="2">
        <f>SUM(AG131:AG146)</f>
        <v>2528</v>
      </c>
      <c r="AH152" s="92"/>
      <c r="AI152" s="92"/>
      <c r="AJ152" s="22"/>
      <c r="AK152" s="22"/>
      <c r="AL152" s="22"/>
      <c r="AM152" s="22">
        <f>AM149*$AN122</f>
        <v>0</v>
      </c>
      <c r="AN152" s="22">
        <f t="shared" ref="AN152:AY152" si="145">AN149*$AN122</f>
        <v>9600</v>
      </c>
      <c r="AO152" s="22">
        <f t="shared" si="145"/>
        <v>0</v>
      </c>
      <c r="AP152" s="22">
        <f t="shared" si="145"/>
        <v>0</v>
      </c>
      <c r="AQ152" s="22">
        <f t="shared" si="145"/>
        <v>0</v>
      </c>
      <c r="AR152" s="22">
        <f t="shared" si="145"/>
        <v>0</v>
      </c>
      <c r="AS152" s="22">
        <f t="shared" si="145"/>
        <v>0</v>
      </c>
      <c r="AT152" s="22">
        <f t="shared" si="145"/>
        <v>0</v>
      </c>
      <c r="AU152" s="22">
        <f t="shared" si="145"/>
        <v>0</v>
      </c>
      <c r="AV152" s="22">
        <f t="shared" si="145"/>
        <v>0</v>
      </c>
      <c r="AW152" s="22">
        <f t="shared" si="145"/>
        <v>0</v>
      </c>
      <c r="AX152" s="22">
        <f t="shared" si="145"/>
        <v>0</v>
      </c>
      <c r="AY152" s="22">
        <f t="shared" si="145"/>
        <v>0</v>
      </c>
      <c r="AZ152" s="92"/>
      <c r="BA152" s="92"/>
      <c r="BB152" s="13">
        <f>SUM(BB131:BB146)</f>
        <v>2211</v>
      </c>
      <c r="BC152" s="92"/>
      <c r="BD152" s="92"/>
      <c r="BE152" s="92"/>
      <c r="BF152" s="92"/>
      <c r="BG152" s="92"/>
    </row>
    <row r="153" spans="1:59" x14ac:dyDescent="0.3">
      <c r="A153" s="2" t="s">
        <v>63</v>
      </c>
      <c r="B153" s="2">
        <f>SUM(B147:B148,B125:B130)</f>
        <v>1928</v>
      </c>
      <c r="C153" s="2">
        <f>SUM(C147:C148,C125:C130)</f>
        <v>1264</v>
      </c>
      <c r="D153" s="24"/>
      <c r="E153" s="24"/>
      <c r="F153" s="25">
        <f t="shared" ref="F153:H153" si="146">F152*F151</f>
        <v>223020.96606594001</v>
      </c>
      <c r="G153" s="25">
        <f t="shared" si="146"/>
        <v>1070805.0149999999</v>
      </c>
      <c r="H153" s="25">
        <f t="shared" si="146"/>
        <v>605756.96</v>
      </c>
      <c r="I153" s="25">
        <f>I152*I151</f>
        <v>784680</v>
      </c>
      <c r="J153" s="25">
        <f t="shared" ref="J153:U153" si="147">J152*J151</f>
        <v>449488</v>
      </c>
      <c r="K153" s="25">
        <f t="shared" si="147"/>
        <v>0</v>
      </c>
      <c r="L153" s="25">
        <f t="shared" si="147"/>
        <v>0</v>
      </c>
      <c r="M153" s="25">
        <f t="shared" si="147"/>
        <v>0</v>
      </c>
      <c r="N153" s="25">
        <f t="shared" si="147"/>
        <v>0</v>
      </c>
      <c r="O153" s="25">
        <f t="shared" si="147"/>
        <v>0</v>
      </c>
      <c r="P153" s="25">
        <f t="shared" si="147"/>
        <v>0</v>
      </c>
      <c r="Q153" s="25">
        <f t="shared" si="147"/>
        <v>0</v>
      </c>
      <c r="R153" s="25">
        <f t="shared" si="147"/>
        <v>0</v>
      </c>
      <c r="S153" s="25">
        <f t="shared" si="147"/>
        <v>0</v>
      </c>
      <c r="T153" s="25">
        <f t="shared" si="147"/>
        <v>0</v>
      </c>
      <c r="U153" s="25">
        <f t="shared" si="147"/>
        <v>0</v>
      </c>
      <c r="V153" s="24"/>
      <c r="W153" s="24"/>
      <c r="X153" s="24"/>
      <c r="Y153" s="24"/>
      <c r="Z153" s="24"/>
      <c r="AA153" s="24"/>
      <c r="AB153" s="24"/>
      <c r="AC153" s="24"/>
      <c r="AE153" s="2" t="s">
        <v>63</v>
      </c>
      <c r="AF153" s="2">
        <f>SUM(AF147:AF148,AF125:AF130)</f>
        <v>1928</v>
      </c>
      <c r="AG153" s="2">
        <f>SUM(AG147:AG148,AG125:AG130)</f>
        <v>1264</v>
      </c>
      <c r="AH153" s="24"/>
      <c r="AI153" s="24"/>
      <c r="AJ153" s="25"/>
      <c r="AK153" s="25"/>
      <c r="AL153" s="25"/>
      <c r="AM153" s="25">
        <f>AM152*AM151</f>
        <v>0</v>
      </c>
      <c r="AN153" s="25">
        <f t="shared" ref="AN153:AY153" si="148">AN152*AN151</f>
        <v>207456</v>
      </c>
      <c r="AO153" s="25">
        <f t="shared" si="148"/>
        <v>0</v>
      </c>
      <c r="AP153" s="25">
        <f t="shared" si="148"/>
        <v>0</v>
      </c>
      <c r="AQ153" s="25">
        <f t="shared" si="148"/>
        <v>0</v>
      </c>
      <c r="AR153" s="25">
        <f t="shared" si="148"/>
        <v>0</v>
      </c>
      <c r="AS153" s="25">
        <f t="shared" si="148"/>
        <v>0</v>
      </c>
      <c r="AT153" s="25">
        <f t="shared" si="148"/>
        <v>0</v>
      </c>
      <c r="AU153" s="25">
        <f t="shared" si="148"/>
        <v>0</v>
      </c>
      <c r="AV153" s="25">
        <f t="shared" si="148"/>
        <v>0</v>
      </c>
      <c r="AW153" s="25">
        <f t="shared" si="148"/>
        <v>0</v>
      </c>
      <c r="AX153" s="25">
        <f t="shared" si="148"/>
        <v>0</v>
      </c>
      <c r="AY153" s="25">
        <f t="shared" si="148"/>
        <v>0</v>
      </c>
      <c r="AZ153" s="24"/>
      <c r="BA153" s="24"/>
      <c r="BB153" s="24"/>
      <c r="BC153" s="24"/>
      <c r="BD153" s="24"/>
      <c r="BE153" s="24"/>
      <c r="BF153" s="24"/>
      <c r="BG153" s="24"/>
    </row>
    <row r="154" spans="1:59" x14ac:dyDescent="0.3">
      <c r="A154" s="23"/>
      <c r="B154" s="23"/>
      <c r="C154" s="35" t="s">
        <v>221</v>
      </c>
      <c r="D154" s="117">
        <f>D150+AH150</f>
        <v>249630</v>
      </c>
      <c r="E154" s="23"/>
      <c r="F154" s="23"/>
      <c r="G154" s="23"/>
      <c r="H154" s="23"/>
      <c r="I154" s="116" t="s">
        <v>222</v>
      </c>
      <c r="J154" s="25">
        <f>SUM(F153:T153)+SUM(AM153:AX153)</f>
        <v>3341206.9410659401</v>
      </c>
      <c r="K154" s="23"/>
      <c r="L154" s="92"/>
      <c r="M154" s="92"/>
      <c r="W154" s="23"/>
      <c r="X154" s="11">
        <f>X151*(30-AN122)</f>
        <v>54912</v>
      </c>
      <c r="Y154" s="23"/>
      <c r="Z154" s="23"/>
      <c r="AA154" s="23"/>
      <c r="AB154" s="23"/>
      <c r="AC154" s="23"/>
      <c r="AE154" s="23"/>
      <c r="AF154" s="23"/>
      <c r="AG154" s="23"/>
      <c r="AH154" s="23"/>
      <c r="AI154" s="23"/>
      <c r="AJ154" s="23"/>
      <c r="AK154" s="23"/>
      <c r="AL154" s="23"/>
      <c r="AM154" s="23"/>
      <c r="AN154" s="25"/>
      <c r="AO154" s="23"/>
      <c r="AP154" s="92"/>
      <c r="AQ154" s="92"/>
      <c r="AR154" s="92"/>
      <c r="AS154" s="92"/>
      <c r="AT154" s="92"/>
      <c r="AU154" s="92"/>
      <c r="AV154" s="92"/>
      <c r="AW154" s="92"/>
      <c r="AX154" s="92"/>
      <c r="AY154" s="92"/>
      <c r="AZ154" s="92"/>
      <c r="BA154" s="23"/>
      <c r="BB154" s="11">
        <f>BB151*AN122</f>
        <v>8448</v>
      </c>
      <c r="BC154" s="23"/>
      <c r="BD154" s="23"/>
      <c r="BE154" s="23"/>
      <c r="BF154" s="23"/>
      <c r="BG154" s="23"/>
    </row>
    <row r="155" spans="1:59" x14ac:dyDescent="0.3">
      <c r="C155" s="35" t="s">
        <v>131</v>
      </c>
      <c r="D155" s="36">
        <f>D154-Load!S11</f>
        <v>-4693.8658103848575</v>
      </c>
      <c r="I155" s="23" t="s">
        <v>185</v>
      </c>
      <c r="J155" s="22">
        <f>SUM(F152:T152)+SUM(AM152:AX152)</f>
        <v>109532.408406</v>
      </c>
      <c r="K155" s="39">
        <f>J155/D154</f>
        <v>0.43877902658334333</v>
      </c>
      <c r="L155" s="92" t="s">
        <v>223</v>
      </c>
      <c r="M155" s="92"/>
      <c r="X155" s="13">
        <f>X152*(30-AN122)</f>
        <v>67886</v>
      </c>
      <c r="AE155" s="92"/>
      <c r="AF155" s="92"/>
      <c r="AG155" s="35"/>
      <c r="AH155" s="36"/>
      <c r="AI155" s="92"/>
      <c r="AJ155" s="92"/>
      <c r="AK155" s="92"/>
      <c r="AL155" s="92"/>
      <c r="AM155" s="23"/>
      <c r="AN155" s="22"/>
      <c r="AO155" s="39"/>
      <c r="AP155" s="92"/>
      <c r="AQ155" s="92"/>
      <c r="AR155" s="92"/>
      <c r="AS155" s="92"/>
      <c r="AT155" s="92"/>
      <c r="AU155" s="92"/>
      <c r="AV155" s="92"/>
      <c r="AW155" s="92"/>
      <c r="AX155" s="92"/>
      <c r="AY155" s="92"/>
      <c r="AZ155" s="92"/>
      <c r="BA155" s="92"/>
      <c r="BB155" s="13">
        <f>BB152*AN122</f>
        <v>8844</v>
      </c>
      <c r="BC155" s="92"/>
      <c r="BD155" s="92"/>
      <c r="BE155" s="92"/>
      <c r="BF155" s="92"/>
      <c r="BG155" s="92"/>
    </row>
    <row r="156" spans="1:59" ht="15" thickBot="1" x14ac:dyDescent="0.35">
      <c r="A156" s="313"/>
      <c r="B156" s="313"/>
      <c r="C156" s="35" t="s">
        <v>383</v>
      </c>
      <c r="D156" s="49">
        <f>C151*30*50.6</f>
        <v>142692</v>
      </c>
      <c r="I156" s="23" t="s">
        <v>47</v>
      </c>
      <c r="J156" s="21">
        <f>J154/J155</f>
        <v>30.504277133039963</v>
      </c>
      <c r="L156" s="92"/>
      <c r="M156" s="92" t="s">
        <v>100</v>
      </c>
      <c r="X156" s="37">
        <f>SUM(X154:X155)+Y150+BB156</f>
        <v>145226</v>
      </c>
      <c r="Y156" t="s">
        <v>159</v>
      </c>
      <c r="AE156" s="23"/>
      <c r="AF156" s="92"/>
      <c r="AG156" s="92"/>
      <c r="AH156" s="92"/>
      <c r="AI156" s="92"/>
      <c r="AJ156" s="92"/>
      <c r="AK156" s="92"/>
      <c r="AL156" s="92"/>
      <c r="AM156" s="23"/>
      <c r="AN156" s="21"/>
      <c r="AO156" s="92"/>
      <c r="AP156" s="92"/>
      <c r="AQ156" s="92"/>
      <c r="AR156" s="92"/>
      <c r="AS156" s="92"/>
      <c r="AT156" s="92"/>
      <c r="AU156" s="92"/>
      <c r="AV156" s="92"/>
      <c r="AW156" s="92"/>
      <c r="AX156" s="92"/>
      <c r="AY156" s="92"/>
      <c r="AZ156" s="92"/>
      <c r="BA156" s="92"/>
      <c r="BB156" s="37">
        <f>SUM(BB154:BB155)+BC150</f>
        <v>18528</v>
      </c>
      <c r="BC156" s="92" t="s">
        <v>218</v>
      </c>
      <c r="BD156" s="92"/>
      <c r="BE156" s="92"/>
      <c r="BF156" s="92"/>
      <c r="BG156" s="92"/>
    </row>
    <row r="157" spans="1:59" x14ac:dyDescent="0.3">
      <c r="A157" s="313"/>
      <c r="B157" s="313"/>
      <c r="C157" s="35" t="s">
        <v>384</v>
      </c>
      <c r="D157" s="36">
        <f>D156-Load!G33</f>
        <v>-2744</v>
      </c>
      <c r="I157" s="67" t="s">
        <v>186</v>
      </c>
      <c r="J157" s="68">
        <f>SUM(I152:T152)+SUM(AM152:AX152)</f>
        <v>61600</v>
      </c>
      <c r="L157" s="92" t="s">
        <v>233</v>
      </c>
      <c r="M157" s="31">
        <f>SUM(I152:P152)+SUM(AM152:AT152)</f>
        <v>61600</v>
      </c>
      <c r="X157" s="93">
        <f>(SUM(X154:X155)+Y150)*Y157+BB158</f>
        <v>5082910</v>
      </c>
      <c r="Y157" s="57">
        <v>35</v>
      </c>
      <c r="Z157" t="s">
        <v>160</v>
      </c>
      <c r="AE157" s="23"/>
      <c r="AF157" s="92"/>
      <c r="AG157" s="92"/>
      <c r="AH157" s="92"/>
      <c r="AI157" s="92"/>
      <c r="AJ157" s="92"/>
      <c r="AK157" s="92"/>
      <c r="AL157" s="92"/>
      <c r="AM157" s="92"/>
      <c r="AN157" s="92"/>
      <c r="AO157" s="92"/>
      <c r="AP157" s="92"/>
      <c r="AQ157" s="92"/>
      <c r="AR157" s="92"/>
      <c r="AS157" s="92"/>
      <c r="AT157" s="92"/>
      <c r="AU157" s="92"/>
      <c r="AV157" s="92"/>
      <c r="AW157" s="92"/>
      <c r="AX157" s="92"/>
      <c r="AY157" s="92"/>
      <c r="AZ157" s="92"/>
      <c r="BA157" s="92"/>
      <c r="BB157" s="93">
        <f>BB156*BC157</f>
        <v>648480</v>
      </c>
      <c r="BC157" s="93">
        <f>Y157</f>
        <v>35</v>
      </c>
      <c r="BD157" s="92" t="s">
        <v>160</v>
      </c>
      <c r="BE157" s="92"/>
      <c r="BF157" s="92"/>
      <c r="BG157" s="92"/>
    </row>
    <row r="158" spans="1:59" x14ac:dyDescent="0.3">
      <c r="I158" s="69" t="s">
        <v>18</v>
      </c>
      <c r="J158" s="70">
        <f>SUM(I153:T153)+SUM(AM153:AX153)</f>
        <v>1441624</v>
      </c>
      <c r="L158" s="92" t="s">
        <v>235</v>
      </c>
      <c r="M158" s="31">
        <f>SUM(Q152:U152)+SUM(AU152:AY152)</f>
        <v>0</v>
      </c>
      <c r="X158" s="79">
        <f>X157+J158</f>
        <v>6524534</v>
      </c>
      <c r="Y158" t="s">
        <v>161</v>
      </c>
      <c r="AE158" s="23"/>
      <c r="AF158" s="92"/>
      <c r="AG158" s="92"/>
      <c r="AH158" s="92"/>
      <c r="AI158" s="92"/>
      <c r="AJ158" s="92"/>
      <c r="AK158" s="92"/>
      <c r="AL158" s="92"/>
      <c r="AM158" s="92"/>
      <c r="AN158" s="92"/>
      <c r="AO158" s="92"/>
      <c r="AP158" s="92"/>
      <c r="AQ158" s="92"/>
      <c r="AR158" s="92"/>
      <c r="AS158" s="92"/>
      <c r="AT158" s="92"/>
      <c r="AU158" s="92"/>
      <c r="AV158" s="92"/>
      <c r="AW158" s="92"/>
      <c r="AX158" s="92"/>
      <c r="AY158" s="92"/>
      <c r="AZ158" s="92"/>
      <c r="BA158" s="92"/>
      <c r="BB158" s="79">
        <f>BB157</f>
        <v>648480</v>
      </c>
      <c r="BC158" s="92" t="s">
        <v>219</v>
      </c>
      <c r="BD158" s="92"/>
      <c r="BE158" s="92"/>
      <c r="BF158" s="92"/>
      <c r="BG158" s="92"/>
    </row>
    <row r="159" spans="1:59" ht="15" thickBot="1" x14ac:dyDescent="0.35">
      <c r="I159" s="71" t="s">
        <v>156</v>
      </c>
      <c r="J159" s="72">
        <f>J158/J157</f>
        <v>23.402987012987012</v>
      </c>
      <c r="W159" s="38" t="s">
        <v>193</v>
      </c>
      <c r="X159" s="80">
        <f>J157+X156</f>
        <v>206826</v>
      </c>
      <c r="Y159" s="79">
        <f>X158/X159</f>
        <v>31.546004854321989</v>
      </c>
    </row>
    <row r="160" spans="1:59" x14ac:dyDescent="0.3">
      <c r="L160" s="23"/>
      <c r="M160" s="21"/>
    </row>
    <row r="161" spans="1:59" x14ac:dyDescent="0.3">
      <c r="L161" s="23"/>
      <c r="M161" s="21"/>
      <c r="AE161" s="92"/>
      <c r="AF161" s="92"/>
      <c r="AG161" s="92"/>
      <c r="AH161" s="92"/>
      <c r="AI161" s="92"/>
      <c r="AJ161" s="92"/>
      <c r="AK161" s="92"/>
      <c r="AL161" s="92"/>
      <c r="AM161" s="92"/>
      <c r="AN161" s="115" t="s">
        <v>215</v>
      </c>
      <c r="AO161" s="92"/>
      <c r="AP161" s="92"/>
      <c r="AQ161" s="92"/>
      <c r="AR161" s="92"/>
      <c r="AS161" s="92"/>
      <c r="AT161" s="92"/>
      <c r="AU161" s="92"/>
      <c r="AV161" s="92"/>
      <c r="AW161" s="92"/>
      <c r="AX161" s="92"/>
      <c r="AY161" s="92"/>
      <c r="AZ161" s="92"/>
      <c r="BA161" s="92"/>
      <c r="BB161" s="92"/>
      <c r="BC161" s="92"/>
      <c r="BD161" s="92"/>
      <c r="BE161" s="92"/>
      <c r="BF161" s="92"/>
      <c r="BG161" s="92"/>
    </row>
    <row r="162" spans="1:59" ht="15" thickBot="1" x14ac:dyDescent="0.35">
      <c r="A162" s="2" t="s">
        <v>54</v>
      </c>
      <c r="F162" s="87"/>
      <c r="X162" s="91" t="s">
        <v>0</v>
      </c>
      <c r="Z162" s="481" t="s">
        <v>1</v>
      </c>
      <c r="AA162" s="483"/>
      <c r="AB162" s="482"/>
      <c r="AC162" s="1" t="s">
        <v>75</v>
      </c>
      <c r="AE162" s="2" t="s">
        <v>54</v>
      </c>
      <c r="AF162" s="92"/>
      <c r="AG162" s="92"/>
      <c r="AH162" s="92"/>
      <c r="AI162" s="92"/>
      <c r="AJ162" s="92"/>
      <c r="AK162" s="92"/>
      <c r="AL162" s="92"/>
      <c r="AM162" s="37" t="s">
        <v>214</v>
      </c>
      <c r="AN162" s="322">
        <v>6</v>
      </c>
      <c r="AO162" s="313"/>
      <c r="AP162" s="313"/>
      <c r="AQ162" s="313"/>
      <c r="AR162" s="313"/>
      <c r="AS162" s="313"/>
      <c r="AT162" s="313"/>
      <c r="AU162" s="313"/>
      <c r="AV162" s="313"/>
      <c r="AW162" s="313"/>
      <c r="AX162" s="313"/>
      <c r="AY162" s="313"/>
      <c r="AZ162" s="92"/>
      <c r="BA162" s="92"/>
      <c r="BB162" s="114" t="s">
        <v>0</v>
      </c>
      <c r="BC162" s="92"/>
      <c r="BD162" s="481" t="s">
        <v>1</v>
      </c>
      <c r="BE162" s="483"/>
      <c r="BF162" s="482"/>
      <c r="BG162" s="1" t="s">
        <v>75</v>
      </c>
    </row>
    <row r="163" spans="1:59" x14ac:dyDescent="0.3">
      <c r="F163" s="87" t="s">
        <v>415</v>
      </c>
      <c r="I163" s="73" t="s">
        <v>50</v>
      </c>
      <c r="J163" s="74" t="s">
        <v>224</v>
      </c>
      <c r="K163" s="74"/>
      <c r="L163" s="74"/>
      <c r="M163" s="74"/>
      <c r="N163" s="104"/>
      <c r="O163" s="104"/>
      <c r="P163" s="104"/>
      <c r="Q163" s="104"/>
      <c r="R163" s="104"/>
      <c r="S163" s="104"/>
      <c r="T163" s="104"/>
      <c r="U163" s="105"/>
      <c r="X163" s="3" t="s">
        <v>4</v>
      </c>
      <c r="Z163" s="3" t="s">
        <v>4</v>
      </c>
      <c r="AA163" s="4" t="s">
        <v>4</v>
      </c>
      <c r="AB163" s="5" t="s">
        <v>4</v>
      </c>
      <c r="AC163" s="5" t="s">
        <v>6</v>
      </c>
      <c r="AE163" s="92"/>
      <c r="AF163" s="92"/>
      <c r="AG163" s="92"/>
      <c r="AH163" s="92"/>
      <c r="AI163" s="92"/>
      <c r="AJ163" s="92"/>
      <c r="AK163" s="92"/>
      <c r="AL163" s="92"/>
      <c r="AM163" s="73" t="s">
        <v>50</v>
      </c>
      <c r="AN163" s="74" t="s">
        <v>224</v>
      </c>
      <c r="AO163" s="74"/>
      <c r="AP163" s="74"/>
      <c r="AQ163" s="74"/>
      <c r="AR163" s="104"/>
      <c r="AS163" s="104"/>
      <c r="AT163" s="104"/>
      <c r="AU163" s="104"/>
      <c r="AV163" s="104"/>
      <c r="AW163" s="104"/>
      <c r="AX163" s="104"/>
      <c r="AY163" s="105"/>
      <c r="AZ163" s="92"/>
      <c r="BA163" s="92"/>
      <c r="BB163" s="3" t="s">
        <v>4</v>
      </c>
      <c r="BC163" s="92"/>
      <c r="BD163" s="3" t="s">
        <v>4</v>
      </c>
      <c r="BE163" s="4" t="s">
        <v>4</v>
      </c>
      <c r="BF163" s="5" t="s">
        <v>4</v>
      </c>
      <c r="BG163" s="5" t="s">
        <v>6</v>
      </c>
    </row>
    <row r="164" spans="1:59" ht="15" thickBot="1" x14ac:dyDescent="0.35">
      <c r="A164" s="2" t="s">
        <v>7</v>
      </c>
      <c r="B164" s="2" t="s">
        <v>8</v>
      </c>
      <c r="C164" s="2" t="s">
        <v>9</v>
      </c>
      <c r="D164" s="2" t="s">
        <v>10</v>
      </c>
      <c r="E164" s="2" t="s">
        <v>7</v>
      </c>
      <c r="F164" s="2" t="s">
        <v>11</v>
      </c>
      <c r="G164" s="2" t="s">
        <v>12</v>
      </c>
      <c r="H164" s="2" t="s">
        <v>13</v>
      </c>
      <c r="I164" s="75" t="s">
        <v>15</v>
      </c>
      <c r="J164" s="76" t="s">
        <v>15</v>
      </c>
      <c r="K164" s="76"/>
      <c r="L164" s="76"/>
      <c r="M164" s="76"/>
      <c r="N164" s="106"/>
      <c r="O164" s="106"/>
      <c r="P164" s="106"/>
      <c r="Q164" s="106"/>
      <c r="R164" s="106"/>
      <c r="S164" s="106"/>
      <c r="T164" s="106"/>
      <c r="U164" s="107"/>
      <c r="V164" s="2" t="s">
        <v>16</v>
      </c>
      <c r="X164" s="6" t="s">
        <v>17</v>
      </c>
      <c r="Z164" s="6" t="s">
        <v>5</v>
      </c>
      <c r="AA164" s="7" t="s">
        <v>15</v>
      </c>
      <c r="AB164" s="8" t="s">
        <v>18</v>
      </c>
      <c r="AC164" s="8" t="s">
        <v>0</v>
      </c>
      <c r="AE164" s="2" t="s">
        <v>7</v>
      </c>
      <c r="AF164" s="2" t="s">
        <v>8</v>
      </c>
      <c r="AG164" s="2" t="s">
        <v>9</v>
      </c>
      <c r="AH164" s="2" t="s">
        <v>10</v>
      </c>
      <c r="AI164" s="2" t="s">
        <v>7</v>
      </c>
      <c r="AJ164" s="2" t="s">
        <v>11</v>
      </c>
      <c r="AK164" s="2" t="s">
        <v>12</v>
      </c>
      <c r="AL164" s="2" t="s">
        <v>13</v>
      </c>
      <c r="AM164" s="75" t="s">
        <v>15</v>
      </c>
      <c r="AN164" s="76" t="s">
        <v>15</v>
      </c>
      <c r="AO164" s="76"/>
      <c r="AP164" s="76"/>
      <c r="AQ164" s="76"/>
      <c r="AR164" s="106"/>
      <c r="AS164" s="106"/>
      <c r="AT164" s="106"/>
      <c r="AU164" s="106"/>
      <c r="AV164" s="106"/>
      <c r="AW164" s="106"/>
      <c r="AX164" s="106"/>
      <c r="AY164" s="107"/>
      <c r="AZ164" s="2" t="s">
        <v>16</v>
      </c>
      <c r="BA164" s="92"/>
      <c r="BB164" s="6" t="s">
        <v>17</v>
      </c>
      <c r="BC164" s="92"/>
      <c r="BD164" s="6" t="s">
        <v>5</v>
      </c>
      <c r="BE164" s="7" t="s">
        <v>15</v>
      </c>
      <c r="BF164" s="8" t="s">
        <v>18</v>
      </c>
      <c r="BG164" s="8" t="s">
        <v>0</v>
      </c>
    </row>
    <row r="165" spans="1:59" x14ac:dyDescent="0.3">
      <c r="A165" s="9" t="s">
        <v>19</v>
      </c>
      <c r="B165" s="2">
        <v>241</v>
      </c>
      <c r="C165" s="99">
        <f>ROUND(Load!$H$43+'2022'!$E$190*0.485/744,0)</f>
        <v>164</v>
      </c>
      <c r="D165" s="2">
        <f t="shared" ref="D165:D188" si="149">SUM(B165:C165)</f>
        <v>405</v>
      </c>
      <c r="E165" s="9" t="s">
        <v>19</v>
      </c>
      <c r="F165" s="2"/>
      <c r="G165" s="2">
        <v>35</v>
      </c>
      <c r="H165" s="2"/>
      <c r="I165" s="73"/>
      <c r="J165" s="74">
        <v>100</v>
      </c>
      <c r="K165" s="74"/>
      <c r="L165" s="74"/>
      <c r="M165" s="74"/>
      <c r="N165" s="104"/>
      <c r="O165" s="104"/>
      <c r="P165" s="104"/>
      <c r="Q165" s="104"/>
      <c r="R165" s="104"/>
      <c r="S165" s="104"/>
      <c r="T165" s="104"/>
      <c r="U165" s="105"/>
      <c r="V165" s="2">
        <f t="shared" ref="V165:V188" si="150">SUM(F165:U165)</f>
        <v>135</v>
      </c>
      <c r="W165" s="10"/>
      <c r="X165" s="11">
        <f t="shared" ref="X165:X188" si="151">D165-V165</f>
        <v>270</v>
      </c>
      <c r="Y165" s="10"/>
      <c r="Z165" s="12">
        <f>142-F165-H165-M165</f>
        <v>142</v>
      </c>
      <c r="AA165" s="12">
        <f>342-I165-J165</f>
        <v>242</v>
      </c>
      <c r="AB165" s="2">
        <f>Z165+AA165</f>
        <v>384</v>
      </c>
      <c r="AC165" s="2">
        <f t="shared" ref="AC165:AC188" si="152">Z165+AA165-X165</f>
        <v>114</v>
      </c>
      <c r="AE165" s="9" t="s">
        <v>19</v>
      </c>
      <c r="AF165" s="2">
        <v>241</v>
      </c>
      <c r="AG165" s="99">
        <f>ROUND(Load!$H$43+'2022'!$E$190*0.485/744,0)</f>
        <v>164</v>
      </c>
      <c r="AH165" s="2">
        <f t="shared" ref="AH165:AH188" si="153">SUM(AF165:AG165)</f>
        <v>405</v>
      </c>
      <c r="AI165" s="9" t="s">
        <v>19</v>
      </c>
      <c r="AJ165" s="2"/>
      <c r="AK165" s="2">
        <v>35</v>
      </c>
      <c r="AL165" s="314"/>
      <c r="AM165" s="73"/>
      <c r="AN165" s="74">
        <v>100</v>
      </c>
      <c r="AO165" s="74"/>
      <c r="AP165" s="74"/>
      <c r="AQ165" s="74"/>
      <c r="AR165" s="104"/>
      <c r="AS165" s="104"/>
      <c r="AT165" s="104"/>
      <c r="AU165" s="104"/>
      <c r="AV165" s="104"/>
      <c r="AW165" s="104"/>
      <c r="AX165" s="104"/>
      <c r="AY165" s="105"/>
      <c r="AZ165" s="2">
        <f t="shared" ref="AZ165:AZ188" si="154">SUM(AJ165:AY165)</f>
        <v>135</v>
      </c>
      <c r="BA165" s="10"/>
      <c r="BB165" s="11">
        <f t="shared" ref="BB165:BB188" si="155">AH165-AZ165</f>
        <v>270</v>
      </c>
      <c r="BC165" s="10"/>
      <c r="BD165" s="12">
        <f>142-AJ165-AL165-AQ165</f>
        <v>142</v>
      </c>
      <c r="BE165" s="12">
        <f>342-AM165-AN165</f>
        <v>242</v>
      </c>
      <c r="BF165" s="2">
        <f t="shared" ref="BF165:BF188" si="156">BD165+BE165</f>
        <v>384</v>
      </c>
      <c r="BG165" s="2">
        <f t="shared" ref="BG165:BG188" si="157">BD165+BE165-BB165</f>
        <v>114</v>
      </c>
    </row>
    <row r="166" spans="1:59" x14ac:dyDescent="0.3">
      <c r="A166" s="9" t="s">
        <v>20</v>
      </c>
      <c r="B166" s="2">
        <v>241</v>
      </c>
      <c r="C166" s="99">
        <f>ROUND(Load!$H$43+'2022'!$E$190*0.485/744,0)</f>
        <v>164</v>
      </c>
      <c r="D166" s="2">
        <f t="shared" si="149"/>
        <v>405</v>
      </c>
      <c r="E166" s="9" t="s">
        <v>20</v>
      </c>
      <c r="F166" s="2"/>
      <c r="G166" s="2">
        <v>35</v>
      </c>
      <c r="H166" s="2"/>
      <c r="I166" s="77"/>
      <c r="J166" s="78">
        <v>100</v>
      </c>
      <c r="K166" s="78"/>
      <c r="L166" s="78"/>
      <c r="M166" s="78"/>
      <c r="N166" s="108"/>
      <c r="O166" s="108"/>
      <c r="P166" s="108"/>
      <c r="Q166" s="108"/>
      <c r="R166" s="108"/>
      <c r="S166" s="108"/>
      <c r="T166" s="108"/>
      <c r="U166" s="109"/>
      <c r="V166" s="2">
        <f t="shared" si="150"/>
        <v>135</v>
      </c>
      <c r="W166" s="10"/>
      <c r="X166" s="11">
        <f t="shared" si="151"/>
        <v>270</v>
      </c>
      <c r="Y166" s="10"/>
      <c r="Z166" s="12">
        <f t="shared" ref="Z166:Z188" si="158">142-F166-H166-M166</f>
        <v>142</v>
      </c>
      <c r="AA166" s="12">
        <f t="shared" ref="AA166:AA170" si="159">342-I166-J166</f>
        <v>242</v>
      </c>
      <c r="AB166" s="2">
        <f t="shared" ref="AB166:AB188" si="160">Z166+AA166</f>
        <v>384</v>
      </c>
      <c r="AC166" s="2">
        <f t="shared" si="152"/>
        <v>114</v>
      </c>
      <c r="AE166" s="9" t="s">
        <v>20</v>
      </c>
      <c r="AF166" s="2">
        <v>241</v>
      </c>
      <c r="AG166" s="99">
        <f>ROUND(Load!$H$43+'2022'!$E$190*0.485/744,0)</f>
        <v>164</v>
      </c>
      <c r="AH166" s="2">
        <f t="shared" si="153"/>
        <v>405</v>
      </c>
      <c r="AI166" s="9" t="s">
        <v>20</v>
      </c>
      <c r="AJ166" s="2"/>
      <c r="AK166" s="2">
        <v>35</v>
      </c>
      <c r="AL166" s="314"/>
      <c r="AM166" s="77"/>
      <c r="AN166" s="78">
        <v>100</v>
      </c>
      <c r="AO166" s="78"/>
      <c r="AP166" s="78"/>
      <c r="AQ166" s="78"/>
      <c r="AR166" s="108"/>
      <c r="AS166" s="108"/>
      <c r="AT166" s="108"/>
      <c r="AU166" s="108"/>
      <c r="AV166" s="108"/>
      <c r="AW166" s="108"/>
      <c r="AX166" s="108"/>
      <c r="AY166" s="109"/>
      <c r="AZ166" s="2">
        <f t="shared" si="154"/>
        <v>135</v>
      </c>
      <c r="BA166" s="10"/>
      <c r="BB166" s="11">
        <f t="shared" si="155"/>
        <v>270</v>
      </c>
      <c r="BC166" s="10"/>
      <c r="BD166" s="12">
        <f t="shared" ref="BD166:BD188" si="161">142-AJ166-AL166-AQ166</f>
        <v>142</v>
      </c>
      <c r="BE166" s="12">
        <f t="shared" ref="BE166:BE188" si="162">342-AM166-AN166</f>
        <v>242</v>
      </c>
      <c r="BF166" s="2">
        <f t="shared" si="156"/>
        <v>384</v>
      </c>
      <c r="BG166" s="2">
        <f t="shared" si="157"/>
        <v>114</v>
      </c>
    </row>
    <row r="167" spans="1:59" x14ac:dyDescent="0.3">
      <c r="A167" s="9" t="s">
        <v>21</v>
      </c>
      <c r="B167" s="2">
        <v>241</v>
      </c>
      <c r="C167" s="99">
        <f>ROUND(Load!$H$43+'2022'!$E$190*0.485/744,0)</f>
        <v>164</v>
      </c>
      <c r="D167" s="2">
        <f t="shared" si="149"/>
        <v>405</v>
      </c>
      <c r="E167" s="9" t="s">
        <v>21</v>
      </c>
      <c r="F167" s="2"/>
      <c r="G167" s="2">
        <v>35</v>
      </c>
      <c r="H167" s="2"/>
      <c r="I167" s="77"/>
      <c r="J167" s="78">
        <v>100</v>
      </c>
      <c r="K167" s="78"/>
      <c r="L167" s="78"/>
      <c r="M167" s="78"/>
      <c r="N167" s="108"/>
      <c r="O167" s="108"/>
      <c r="P167" s="108"/>
      <c r="Q167" s="108"/>
      <c r="R167" s="108"/>
      <c r="S167" s="108"/>
      <c r="T167" s="108"/>
      <c r="U167" s="109"/>
      <c r="V167" s="2">
        <f t="shared" si="150"/>
        <v>135</v>
      </c>
      <c r="W167" s="10"/>
      <c r="X167" s="11">
        <f t="shared" si="151"/>
        <v>270</v>
      </c>
      <c r="Y167" s="10"/>
      <c r="Z167" s="12">
        <f>142-F167-H167-M167</f>
        <v>142</v>
      </c>
      <c r="AA167" s="12">
        <f t="shared" si="159"/>
        <v>242</v>
      </c>
      <c r="AB167" s="2">
        <f t="shared" si="160"/>
        <v>384</v>
      </c>
      <c r="AC167" s="2">
        <f t="shared" si="152"/>
        <v>114</v>
      </c>
      <c r="AE167" s="9" t="s">
        <v>21</v>
      </c>
      <c r="AF167" s="2">
        <v>241</v>
      </c>
      <c r="AG167" s="99">
        <f>ROUND(Load!$H$43+'2022'!$E$190*0.485/744,0)</f>
        <v>164</v>
      </c>
      <c r="AH167" s="2">
        <f t="shared" si="153"/>
        <v>405</v>
      </c>
      <c r="AI167" s="9" t="s">
        <v>21</v>
      </c>
      <c r="AJ167" s="2"/>
      <c r="AK167" s="2">
        <v>35</v>
      </c>
      <c r="AL167" s="314"/>
      <c r="AM167" s="77"/>
      <c r="AN167" s="78">
        <v>100</v>
      </c>
      <c r="AO167" s="78"/>
      <c r="AP167" s="78"/>
      <c r="AQ167" s="78"/>
      <c r="AR167" s="108"/>
      <c r="AS167" s="108"/>
      <c r="AT167" s="108"/>
      <c r="AU167" s="108"/>
      <c r="AV167" s="108"/>
      <c r="AW167" s="108"/>
      <c r="AX167" s="108"/>
      <c r="AY167" s="109"/>
      <c r="AZ167" s="2">
        <f t="shared" si="154"/>
        <v>135</v>
      </c>
      <c r="BA167" s="10"/>
      <c r="BB167" s="11">
        <f t="shared" si="155"/>
        <v>270</v>
      </c>
      <c r="BC167" s="10"/>
      <c r="BD167" s="12">
        <f t="shared" si="161"/>
        <v>142</v>
      </c>
      <c r="BE167" s="12">
        <f t="shared" si="162"/>
        <v>242</v>
      </c>
      <c r="BF167" s="2">
        <f t="shared" si="156"/>
        <v>384</v>
      </c>
      <c r="BG167" s="2">
        <f t="shared" si="157"/>
        <v>114</v>
      </c>
    </row>
    <row r="168" spans="1:59" x14ac:dyDescent="0.3">
      <c r="A168" s="9" t="s">
        <v>22</v>
      </c>
      <c r="B168" s="2">
        <v>241</v>
      </c>
      <c r="C168" s="99">
        <f>ROUND(Load!$H$43+'2022'!$E$190*0.485/744,0)</f>
        <v>164</v>
      </c>
      <c r="D168" s="2">
        <f t="shared" si="149"/>
        <v>405</v>
      </c>
      <c r="E168" s="9" t="s">
        <v>22</v>
      </c>
      <c r="F168" s="2"/>
      <c r="G168" s="2">
        <v>35</v>
      </c>
      <c r="H168" s="2"/>
      <c r="I168" s="77"/>
      <c r="J168" s="78">
        <v>100</v>
      </c>
      <c r="K168" s="78"/>
      <c r="L168" s="78"/>
      <c r="M168" s="78"/>
      <c r="N168" s="108"/>
      <c r="O168" s="108"/>
      <c r="P168" s="108"/>
      <c r="Q168" s="108"/>
      <c r="R168" s="108"/>
      <c r="S168" s="108"/>
      <c r="T168" s="108"/>
      <c r="U168" s="109"/>
      <c r="V168" s="2">
        <f t="shared" si="150"/>
        <v>135</v>
      </c>
      <c r="W168" s="10"/>
      <c r="X168" s="11">
        <f t="shared" si="151"/>
        <v>270</v>
      </c>
      <c r="Y168" s="10"/>
      <c r="Z168" s="12">
        <f t="shared" si="158"/>
        <v>142</v>
      </c>
      <c r="AA168" s="12">
        <f t="shared" si="159"/>
        <v>242</v>
      </c>
      <c r="AB168" s="2">
        <f t="shared" si="160"/>
        <v>384</v>
      </c>
      <c r="AC168" s="2">
        <f t="shared" si="152"/>
        <v>114</v>
      </c>
      <c r="AE168" s="9" t="s">
        <v>22</v>
      </c>
      <c r="AF168" s="2">
        <v>241</v>
      </c>
      <c r="AG168" s="99">
        <f>ROUND(Load!$H$43+'2022'!$E$190*0.485/744,0)</f>
        <v>164</v>
      </c>
      <c r="AH168" s="2">
        <f t="shared" si="153"/>
        <v>405</v>
      </c>
      <c r="AI168" s="9" t="s">
        <v>22</v>
      </c>
      <c r="AJ168" s="2"/>
      <c r="AK168" s="2">
        <v>35</v>
      </c>
      <c r="AL168" s="314"/>
      <c r="AM168" s="77"/>
      <c r="AN168" s="78">
        <v>100</v>
      </c>
      <c r="AO168" s="78"/>
      <c r="AP168" s="78"/>
      <c r="AQ168" s="78"/>
      <c r="AR168" s="108"/>
      <c r="AS168" s="108"/>
      <c r="AT168" s="108"/>
      <c r="AU168" s="108"/>
      <c r="AV168" s="108"/>
      <c r="AW168" s="108"/>
      <c r="AX168" s="108"/>
      <c r="AY168" s="109"/>
      <c r="AZ168" s="2">
        <f t="shared" si="154"/>
        <v>135</v>
      </c>
      <c r="BA168" s="10"/>
      <c r="BB168" s="11">
        <f t="shared" si="155"/>
        <v>270</v>
      </c>
      <c r="BC168" s="10"/>
      <c r="BD168" s="12">
        <f>142-AJ168-AL168-AQ168</f>
        <v>142</v>
      </c>
      <c r="BE168" s="12">
        <f t="shared" si="162"/>
        <v>242</v>
      </c>
      <c r="BF168" s="2">
        <f t="shared" si="156"/>
        <v>384</v>
      </c>
      <c r="BG168" s="2">
        <f t="shared" si="157"/>
        <v>114</v>
      </c>
    </row>
    <row r="169" spans="1:59" x14ac:dyDescent="0.3">
      <c r="A169" s="9" t="s">
        <v>23</v>
      </c>
      <c r="B169" s="2">
        <v>241</v>
      </c>
      <c r="C169" s="99">
        <f>ROUND(Load!$H$43+'2022'!$E$190*0.485/744,0)</f>
        <v>164</v>
      </c>
      <c r="D169" s="2">
        <f t="shared" si="149"/>
        <v>405</v>
      </c>
      <c r="E169" s="9" t="s">
        <v>23</v>
      </c>
      <c r="F169" s="2"/>
      <c r="G169" s="2">
        <v>35</v>
      </c>
      <c r="H169" s="2"/>
      <c r="I169" s="77"/>
      <c r="J169" s="78">
        <v>100</v>
      </c>
      <c r="K169" s="78"/>
      <c r="L169" s="78"/>
      <c r="M169" s="78"/>
      <c r="N169" s="108"/>
      <c r="O169" s="108"/>
      <c r="P169" s="108"/>
      <c r="Q169" s="108"/>
      <c r="R169" s="108"/>
      <c r="S169" s="108"/>
      <c r="T169" s="108"/>
      <c r="U169" s="109"/>
      <c r="V169" s="2">
        <f t="shared" si="150"/>
        <v>135</v>
      </c>
      <c r="W169" s="10"/>
      <c r="X169" s="11">
        <f t="shared" si="151"/>
        <v>270</v>
      </c>
      <c r="Y169" s="10"/>
      <c r="Z169" s="12">
        <f t="shared" si="158"/>
        <v>142</v>
      </c>
      <c r="AA169" s="12">
        <f t="shared" si="159"/>
        <v>242</v>
      </c>
      <c r="AB169" s="2">
        <f t="shared" si="160"/>
        <v>384</v>
      </c>
      <c r="AC169" s="2">
        <f t="shared" si="152"/>
        <v>114</v>
      </c>
      <c r="AE169" s="9" t="s">
        <v>23</v>
      </c>
      <c r="AF169" s="2">
        <v>241</v>
      </c>
      <c r="AG169" s="99">
        <f>ROUND(Load!$H$43+'2022'!$E$190*0.485/744,0)</f>
        <v>164</v>
      </c>
      <c r="AH169" s="2">
        <f t="shared" si="153"/>
        <v>405</v>
      </c>
      <c r="AI169" s="9" t="s">
        <v>23</v>
      </c>
      <c r="AJ169" s="2"/>
      <c r="AK169" s="2">
        <v>35</v>
      </c>
      <c r="AL169" s="314"/>
      <c r="AM169" s="77"/>
      <c r="AN169" s="78">
        <v>100</v>
      </c>
      <c r="AO169" s="78"/>
      <c r="AP169" s="78"/>
      <c r="AQ169" s="78"/>
      <c r="AR169" s="108"/>
      <c r="AS169" s="108"/>
      <c r="AT169" s="108"/>
      <c r="AU169" s="108"/>
      <c r="AV169" s="108"/>
      <c r="AW169" s="108"/>
      <c r="AX169" s="108"/>
      <c r="AY169" s="109"/>
      <c r="AZ169" s="2">
        <f t="shared" si="154"/>
        <v>135</v>
      </c>
      <c r="BA169" s="10"/>
      <c r="BB169" s="11">
        <f t="shared" si="155"/>
        <v>270</v>
      </c>
      <c r="BC169" s="10"/>
      <c r="BD169" s="12">
        <f t="shared" si="161"/>
        <v>142</v>
      </c>
      <c r="BE169" s="12">
        <f t="shared" si="162"/>
        <v>242</v>
      </c>
      <c r="BF169" s="2">
        <f t="shared" si="156"/>
        <v>384</v>
      </c>
      <c r="BG169" s="2">
        <f t="shared" si="157"/>
        <v>114</v>
      </c>
    </row>
    <row r="170" spans="1:59" x14ac:dyDescent="0.3">
      <c r="A170" s="9" t="s">
        <v>24</v>
      </c>
      <c r="B170" s="2">
        <v>241</v>
      </c>
      <c r="C170" s="99">
        <f>ROUND(Load!$H$43+'2022'!$E$190*0.485/744,0)</f>
        <v>164</v>
      </c>
      <c r="D170" s="2">
        <f t="shared" si="149"/>
        <v>405</v>
      </c>
      <c r="E170" s="9" t="s">
        <v>24</v>
      </c>
      <c r="F170" s="2"/>
      <c r="G170" s="2">
        <v>35</v>
      </c>
      <c r="H170" s="2"/>
      <c r="I170" s="77"/>
      <c r="J170" s="78">
        <v>100</v>
      </c>
      <c r="K170" s="78"/>
      <c r="L170" s="78"/>
      <c r="M170" s="78"/>
      <c r="N170" s="108"/>
      <c r="O170" s="108"/>
      <c r="P170" s="108"/>
      <c r="Q170" s="108"/>
      <c r="R170" s="108"/>
      <c r="S170" s="108"/>
      <c r="T170" s="108"/>
      <c r="U170" s="109"/>
      <c r="V170" s="2">
        <f t="shared" si="150"/>
        <v>135</v>
      </c>
      <c r="W170" s="10"/>
      <c r="X170" s="11">
        <f t="shared" si="151"/>
        <v>270</v>
      </c>
      <c r="Y170" s="10"/>
      <c r="Z170" s="12">
        <f t="shared" si="158"/>
        <v>142</v>
      </c>
      <c r="AA170" s="12">
        <f t="shared" si="159"/>
        <v>242</v>
      </c>
      <c r="AB170" s="2">
        <f t="shared" si="160"/>
        <v>384</v>
      </c>
      <c r="AC170" s="2">
        <f t="shared" si="152"/>
        <v>114</v>
      </c>
      <c r="AE170" s="9" t="s">
        <v>24</v>
      </c>
      <c r="AF170" s="2">
        <v>241</v>
      </c>
      <c r="AG170" s="99">
        <f>ROUND(Load!$H$43+'2022'!$E$190*0.485/744,0)</f>
        <v>164</v>
      </c>
      <c r="AH170" s="2">
        <f t="shared" si="153"/>
        <v>405</v>
      </c>
      <c r="AI170" s="9" t="s">
        <v>24</v>
      </c>
      <c r="AJ170" s="2"/>
      <c r="AK170" s="2">
        <v>35</v>
      </c>
      <c r="AL170" s="314"/>
      <c r="AM170" s="77"/>
      <c r="AN170" s="78">
        <v>100</v>
      </c>
      <c r="AO170" s="78"/>
      <c r="AP170" s="78"/>
      <c r="AQ170" s="78"/>
      <c r="AR170" s="108"/>
      <c r="AS170" s="108"/>
      <c r="AT170" s="108"/>
      <c r="AU170" s="108"/>
      <c r="AV170" s="108"/>
      <c r="AW170" s="108"/>
      <c r="AX170" s="108"/>
      <c r="AY170" s="109"/>
      <c r="AZ170" s="2">
        <f t="shared" si="154"/>
        <v>135</v>
      </c>
      <c r="BA170" s="10"/>
      <c r="BB170" s="11">
        <f t="shared" si="155"/>
        <v>270</v>
      </c>
      <c r="BC170" s="10"/>
      <c r="BD170" s="12">
        <f t="shared" si="161"/>
        <v>142</v>
      </c>
      <c r="BE170" s="12">
        <f t="shared" si="162"/>
        <v>242</v>
      </c>
      <c r="BF170" s="2">
        <f t="shared" si="156"/>
        <v>384</v>
      </c>
      <c r="BG170" s="2">
        <f t="shared" si="157"/>
        <v>114</v>
      </c>
    </row>
    <row r="171" spans="1:59" x14ac:dyDescent="0.3">
      <c r="A171" s="9" t="s">
        <v>25</v>
      </c>
      <c r="B171" s="2"/>
      <c r="C171" s="99">
        <f>ROUND(Load!$H$43+'2022'!$E$190*0.485/744,0)</f>
        <v>164</v>
      </c>
      <c r="D171" s="2">
        <f t="shared" si="149"/>
        <v>164</v>
      </c>
      <c r="E171" s="9" t="s">
        <v>25</v>
      </c>
      <c r="F171" s="2">
        <f>'Hoover with 30 MW Solar'!$F$39</f>
        <v>32</v>
      </c>
      <c r="G171" s="2">
        <v>35</v>
      </c>
      <c r="H171" s="2"/>
      <c r="I171" s="77">
        <v>75</v>
      </c>
      <c r="J171" s="78"/>
      <c r="K171" s="78"/>
      <c r="L171" s="78"/>
      <c r="M171" s="78"/>
      <c r="N171" s="108"/>
      <c r="O171" s="108"/>
      <c r="P171" s="108"/>
      <c r="Q171" s="108"/>
      <c r="R171" s="108"/>
      <c r="S171" s="108"/>
      <c r="T171" s="108"/>
      <c r="U171" s="109"/>
      <c r="V171" s="2">
        <f t="shared" si="150"/>
        <v>142</v>
      </c>
      <c r="W171" s="10"/>
      <c r="X171" s="13">
        <f t="shared" si="151"/>
        <v>22</v>
      </c>
      <c r="Y171" s="10"/>
      <c r="Z171" s="14">
        <f t="shared" si="158"/>
        <v>110</v>
      </c>
      <c r="AA171" s="14">
        <f>217-I171-J171</f>
        <v>142</v>
      </c>
      <c r="AB171" s="2">
        <f t="shared" si="160"/>
        <v>252</v>
      </c>
      <c r="AC171" s="2">
        <f t="shared" si="152"/>
        <v>230</v>
      </c>
      <c r="AE171" s="9" t="s">
        <v>25</v>
      </c>
      <c r="AF171" s="2"/>
      <c r="AG171" s="99">
        <f>ROUND(Load!$H$43+'2022'!$E$190*0.485/744,0)</f>
        <v>164</v>
      </c>
      <c r="AH171" s="2">
        <f t="shared" si="153"/>
        <v>164</v>
      </c>
      <c r="AI171" s="9" t="s">
        <v>25</v>
      </c>
      <c r="AJ171" s="2">
        <f>'Hoover with 30 MW Solar'!$F$39</f>
        <v>32</v>
      </c>
      <c r="AK171" s="2">
        <v>35</v>
      </c>
      <c r="AL171" s="314"/>
      <c r="AM171" s="77"/>
      <c r="AN171" s="78">
        <v>100</v>
      </c>
      <c r="AO171" s="78"/>
      <c r="AP171" s="78"/>
      <c r="AQ171" s="78"/>
      <c r="AR171" s="108"/>
      <c r="AS171" s="108"/>
      <c r="AT171" s="108"/>
      <c r="AU171" s="108"/>
      <c r="AV171" s="108"/>
      <c r="AW171" s="108"/>
      <c r="AX171" s="108"/>
      <c r="AY171" s="109"/>
      <c r="AZ171" s="2">
        <f t="shared" si="154"/>
        <v>167</v>
      </c>
      <c r="BA171" s="10"/>
      <c r="BB171" s="13">
        <f t="shared" si="155"/>
        <v>-3</v>
      </c>
      <c r="BC171" s="10"/>
      <c r="BD171" s="14">
        <f t="shared" si="161"/>
        <v>110</v>
      </c>
      <c r="BE171" s="14">
        <f t="shared" si="162"/>
        <v>242</v>
      </c>
      <c r="BF171" s="2">
        <f t="shared" si="156"/>
        <v>352</v>
      </c>
      <c r="BG171" s="2">
        <f t="shared" si="157"/>
        <v>355</v>
      </c>
    </row>
    <row r="172" spans="1:59" x14ac:dyDescent="0.3">
      <c r="A172" s="9" t="s">
        <v>26</v>
      </c>
      <c r="B172" s="2"/>
      <c r="C172" s="99">
        <f>ROUND(Load!$H$43+'2022'!$E$190*0.485/744,0)</f>
        <v>164</v>
      </c>
      <c r="D172" s="2">
        <f t="shared" si="149"/>
        <v>164</v>
      </c>
      <c r="E172" s="9" t="s">
        <v>26</v>
      </c>
      <c r="F172" s="2">
        <f>'Hoover with 30 MW Solar'!$F$39</f>
        <v>32</v>
      </c>
      <c r="G172" s="2">
        <v>35</v>
      </c>
      <c r="H172" s="2"/>
      <c r="I172" s="77">
        <v>75</v>
      </c>
      <c r="J172" s="78"/>
      <c r="K172" s="78"/>
      <c r="L172" s="78"/>
      <c r="M172" s="78"/>
      <c r="N172" s="108"/>
      <c r="O172" s="108"/>
      <c r="P172" s="108"/>
      <c r="Q172" s="108"/>
      <c r="R172" s="108"/>
      <c r="S172" s="108"/>
      <c r="T172" s="108"/>
      <c r="U172" s="109"/>
      <c r="V172" s="2">
        <f t="shared" si="150"/>
        <v>142</v>
      </c>
      <c r="W172" s="10"/>
      <c r="X172" s="13">
        <f t="shared" si="151"/>
        <v>22</v>
      </c>
      <c r="Y172" s="10"/>
      <c r="Z172" s="14">
        <f t="shared" si="158"/>
        <v>110</v>
      </c>
      <c r="AA172" s="14">
        <f t="shared" ref="AA172:AA186" si="163">217-I172-J172</f>
        <v>142</v>
      </c>
      <c r="AB172" s="2">
        <f t="shared" si="160"/>
        <v>252</v>
      </c>
      <c r="AC172" s="2">
        <f t="shared" si="152"/>
        <v>230</v>
      </c>
      <c r="AE172" s="9" t="s">
        <v>26</v>
      </c>
      <c r="AF172" s="2"/>
      <c r="AG172" s="99">
        <f>ROUND(Load!$H$43+'2022'!$E$190*0.485/744,0)</f>
        <v>164</v>
      </c>
      <c r="AH172" s="2">
        <f t="shared" si="153"/>
        <v>164</v>
      </c>
      <c r="AI172" s="9" t="s">
        <v>26</v>
      </c>
      <c r="AJ172" s="2">
        <f>'Hoover with 30 MW Solar'!$F$39</f>
        <v>32</v>
      </c>
      <c r="AK172" s="2">
        <v>35</v>
      </c>
      <c r="AL172" s="314"/>
      <c r="AM172" s="77"/>
      <c r="AN172" s="78">
        <v>100</v>
      </c>
      <c r="AO172" s="78"/>
      <c r="AP172" s="78"/>
      <c r="AQ172" s="78"/>
      <c r="AR172" s="108"/>
      <c r="AS172" s="108"/>
      <c r="AT172" s="108"/>
      <c r="AU172" s="108"/>
      <c r="AV172" s="108"/>
      <c r="AW172" s="108"/>
      <c r="AX172" s="108"/>
      <c r="AY172" s="109"/>
      <c r="AZ172" s="2">
        <f t="shared" si="154"/>
        <v>167</v>
      </c>
      <c r="BA172" s="10"/>
      <c r="BB172" s="13">
        <f t="shared" si="155"/>
        <v>-3</v>
      </c>
      <c r="BC172" s="10"/>
      <c r="BD172" s="14">
        <f t="shared" si="161"/>
        <v>110</v>
      </c>
      <c r="BE172" s="14">
        <f t="shared" si="162"/>
        <v>242</v>
      </c>
      <c r="BF172" s="2">
        <f t="shared" si="156"/>
        <v>352</v>
      </c>
      <c r="BG172" s="2">
        <f t="shared" si="157"/>
        <v>355</v>
      </c>
    </row>
    <row r="173" spans="1:59" x14ac:dyDescent="0.3">
      <c r="A173" s="9" t="s">
        <v>27</v>
      </c>
      <c r="B173" s="2">
        <v>289</v>
      </c>
      <c r="C173" s="99">
        <f>ROUND(Load!$H$43+'2022'!$E$190*0.485/744,0)</f>
        <v>164</v>
      </c>
      <c r="D173" s="2">
        <f t="shared" si="149"/>
        <v>453</v>
      </c>
      <c r="E173" s="9" t="s">
        <v>27</v>
      </c>
      <c r="F173" s="2">
        <f>'Hoover with 30 MW Solar'!$F$39</f>
        <v>32</v>
      </c>
      <c r="G173" s="2">
        <v>35</v>
      </c>
      <c r="H173" s="2"/>
      <c r="I173" s="77">
        <v>75</v>
      </c>
      <c r="J173" s="78"/>
      <c r="K173" s="78"/>
      <c r="L173" s="78"/>
      <c r="M173" s="78"/>
      <c r="N173" s="108"/>
      <c r="O173" s="108"/>
      <c r="P173" s="108"/>
      <c r="Q173" s="108"/>
      <c r="R173" s="108"/>
      <c r="S173" s="108"/>
      <c r="T173" s="108"/>
      <c r="U173" s="109"/>
      <c r="V173" s="2">
        <f t="shared" si="150"/>
        <v>142</v>
      </c>
      <c r="W173" s="10"/>
      <c r="X173" s="13">
        <f t="shared" si="151"/>
        <v>311</v>
      </c>
      <c r="Y173" s="10"/>
      <c r="Z173" s="14">
        <f t="shared" si="158"/>
        <v>110</v>
      </c>
      <c r="AA173" s="14">
        <f t="shared" si="163"/>
        <v>142</v>
      </c>
      <c r="AB173" s="2">
        <f t="shared" si="160"/>
        <v>252</v>
      </c>
      <c r="AC173" s="2">
        <f t="shared" si="152"/>
        <v>-59</v>
      </c>
      <c r="AE173" s="9" t="s">
        <v>27</v>
      </c>
      <c r="AF173" s="2">
        <v>289</v>
      </c>
      <c r="AG173" s="99">
        <f>ROUND(Load!$H$43+'2022'!$E$190*0.485/744,0)</f>
        <v>164</v>
      </c>
      <c r="AH173" s="2">
        <f t="shared" si="153"/>
        <v>453</v>
      </c>
      <c r="AI173" s="9" t="s">
        <v>27</v>
      </c>
      <c r="AJ173" s="2">
        <f>'Hoover with 30 MW Solar'!$F$39</f>
        <v>32</v>
      </c>
      <c r="AK173" s="2">
        <v>35</v>
      </c>
      <c r="AL173" s="314"/>
      <c r="AM173" s="77"/>
      <c r="AN173" s="78">
        <v>100</v>
      </c>
      <c r="AO173" s="78"/>
      <c r="AP173" s="78"/>
      <c r="AQ173" s="78"/>
      <c r="AR173" s="108"/>
      <c r="AS173" s="108"/>
      <c r="AT173" s="108"/>
      <c r="AU173" s="108"/>
      <c r="AV173" s="108"/>
      <c r="AW173" s="108"/>
      <c r="AX173" s="108"/>
      <c r="AY173" s="109"/>
      <c r="AZ173" s="2">
        <f t="shared" si="154"/>
        <v>167</v>
      </c>
      <c r="BA173" s="10"/>
      <c r="BB173" s="13">
        <f t="shared" si="155"/>
        <v>286</v>
      </c>
      <c r="BC173" s="10"/>
      <c r="BD173" s="14">
        <f t="shared" si="161"/>
        <v>110</v>
      </c>
      <c r="BE173" s="14">
        <f t="shared" si="162"/>
        <v>242</v>
      </c>
      <c r="BF173" s="2">
        <f t="shared" si="156"/>
        <v>352</v>
      </c>
      <c r="BG173" s="2">
        <f t="shared" si="157"/>
        <v>66</v>
      </c>
    </row>
    <row r="174" spans="1:59" x14ac:dyDescent="0.3">
      <c r="A174" s="9" t="s">
        <v>28</v>
      </c>
      <c r="B174" s="2">
        <v>289</v>
      </c>
      <c r="C174" s="99">
        <f>ROUND(Load!$H$43+'2022'!$E$190*0.485/744,0)</f>
        <v>164</v>
      </c>
      <c r="D174" s="2">
        <f t="shared" si="149"/>
        <v>453</v>
      </c>
      <c r="E174" s="9" t="s">
        <v>28</v>
      </c>
      <c r="F174" s="2">
        <f>'Hoover with 30 MW Solar'!$F$39</f>
        <v>32</v>
      </c>
      <c r="G174" s="2">
        <v>35</v>
      </c>
      <c r="H174" s="2"/>
      <c r="I174" s="77">
        <v>75</v>
      </c>
      <c r="J174" s="78"/>
      <c r="K174" s="78"/>
      <c r="L174" s="78"/>
      <c r="M174" s="78"/>
      <c r="N174" s="108"/>
      <c r="O174" s="108"/>
      <c r="P174" s="108"/>
      <c r="Q174" s="108"/>
      <c r="R174" s="108"/>
      <c r="S174" s="108"/>
      <c r="T174" s="108"/>
      <c r="U174" s="109"/>
      <c r="V174" s="2">
        <f t="shared" si="150"/>
        <v>142</v>
      </c>
      <c r="W174" s="10"/>
      <c r="X174" s="13">
        <f t="shared" si="151"/>
        <v>311</v>
      </c>
      <c r="Y174" s="10"/>
      <c r="Z174" s="14">
        <f t="shared" si="158"/>
        <v>110</v>
      </c>
      <c r="AA174" s="14">
        <f t="shared" si="163"/>
        <v>142</v>
      </c>
      <c r="AB174" s="2">
        <f t="shared" si="160"/>
        <v>252</v>
      </c>
      <c r="AC174" s="2">
        <f t="shared" si="152"/>
        <v>-59</v>
      </c>
      <c r="AE174" s="9" t="s">
        <v>28</v>
      </c>
      <c r="AF174" s="2">
        <v>289</v>
      </c>
      <c r="AG174" s="99">
        <f>ROUND(Load!$H$43+'2022'!$E$190*0.485/744,0)</f>
        <v>164</v>
      </c>
      <c r="AH174" s="2">
        <f t="shared" si="153"/>
        <v>453</v>
      </c>
      <c r="AI174" s="9" t="s">
        <v>28</v>
      </c>
      <c r="AJ174" s="2">
        <f>'Hoover with 30 MW Solar'!$F$39</f>
        <v>32</v>
      </c>
      <c r="AK174" s="2">
        <v>35</v>
      </c>
      <c r="AL174" s="314"/>
      <c r="AM174" s="77"/>
      <c r="AN174" s="78">
        <v>100</v>
      </c>
      <c r="AO174" s="78"/>
      <c r="AP174" s="78"/>
      <c r="AQ174" s="78"/>
      <c r="AR174" s="108"/>
      <c r="AS174" s="108"/>
      <c r="AT174" s="108"/>
      <c r="AU174" s="108"/>
      <c r="AV174" s="108"/>
      <c r="AW174" s="108"/>
      <c r="AX174" s="108"/>
      <c r="AY174" s="109"/>
      <c r="AZ174" s="2">
        <f t="shared" si="154"/>
        <v>167</v>
      </c>
      <c r="BA174" s="10"/>
      <c r="BB174" s="13">
        <f t="shared" si="155"/>
        <v>286</v>
      </c>
      <c r="BC174" s="10"/>
      <c r="BD174" s="14">
        <f t="shared" si="161"/>
        <v>110</v>
      </c>
      <c r="BE174" s="14">
        <f t="shared" si="162"/>
        <v>242</v>
      </c>
      <c r="BF174" s="2">
        <f t="shared" si="156"/>
        <v>352</v>
      </c>
      <c r="BG174" s="2">
        <f t="shared" si="157"/>
        <v>66</v>
      </c>
    </row>
    <row r="175" spans="1:59" x14ac:dyDescent="0.3">
      <c r="A175" s="9" t="s">
        <v>29</v>
      </c>
      <c r="B175" s="2">
        <v>289</v>
      </c>
      <c r="C175" s="99">
        <f>ROUND(Load!$H$43+'2022'!$E$190*0.485/744,0)</f>
        <v>164</v>
      </c>
      <c r="D175" s="2">
        <f t="shared" si="149"/>
        <v>453</v>
      </c>
      <c r="E175" s="9" t="s">
        <v>29</v>
      </c>
      <c r="F175" s="2">
        <f>'Hoover with 30 MW Solar'!$F$39</f>
        <v>32</v>
      </c>
      <c r="G175" s="2">
        <v>35</v>
      </c>
      <c r="H175" s="2"/>
      <c r="I175" s="77">
        <v>75</v>
      </c>
      <c r="J175" s="78"/>
      <c r="K175" s="78"/>
      <c r="L175" s="78"/>
      <c r="M175" s="78"/>
      <c r="N175" s="108"/>
      <c r="O175" s="108"/>
      <c r="P175" s="108"/>
      <c r="Q175" s="108"/>
      <c r="R175" s="108"/>
      <c r="S175" s="108"/>
      <c r="T175" s="108"/>
      <c r="U175" s="109"/>
      <c r="V175" s="2">
        <f t="shared" si="150"/>
        <v>142</v>
      </c>
      <c r="W175" s="10"/>
      <c r="X175" s="13">
        <f t="shared" si="151"/>
        <v>311</v>
      </c>
      <c r="Y175" s="10"/>
      <c r="Z175" s="14">
        <f t="shared" si="158"/>
        <v>110</v>
      </c>
      <c r="AA175" s="14">
        <f t="shared" si="163"/>
        <v>142</v>
      </c>
      <c r="AB175" s="2">
        <f t="shared" si="160"/>
        <v>252</v>
      </c>
      <c r="AC175" s="2">
        <f t="shared" si="152"/>
        <v>-59</v>
      </c>
      <c r="AE175" s="9" t="s">
        <v>29</v>
      </c>
      <c r="AF175" s="2">
        <v>289</v>
      </c>
      <c r="AG175" s="99">
        <f>ROUND(Load!$H$43+'2022'!$E$190*0.485/744,0)</f>
        <v>164</v>
      </c>
      <c r="AH175" s="2">
        <f t="shared" si="153"/>
        <v>453</v>
      </c>
      <c r="AI175" s="9" t="s">
        <v>29</v>
      </c>
      <c r="AJ175" s="2">
        <f>'Hoover with 30 MW Solar'!$F$39</f>
        <v>32</v>
      </c>
      <c r="AK175" s="2">
        <v>35</v>
      </c>
      <c r="AL175" s="314"/>
      <c r="AM175" s="77"/>
      <c r="AN175" s="78">
        <v>100</v>
      </c>
      <c r="AO175" s="78"/>
      <c r="AP175" s="78"/>
      <c r="AQ175" s="78"/>
      <c r="AR175" s="108"/>
      <c r="AS175" s="108"/>
      <c r="AT175" s="108"/>
      <c r="AU175" s="108"/>
      <c r="AV175" s="108"/>
      <c r="AW175" s="108"/>
      <c r="AX175" s="108"/>
      <c r="AY175" s="109"/>
      <c r="AZ175" s="2">
        <f t="shared" si="154"/>
        <v>167</v>
      </c>
      <c r="BA175" s="10"/>
      <c r="BB175" s="13">
        <f t="shared" si="155"/>
        <v>286</v>
      </c>
      <c r="BC175" s="10"/>
      <c r="BD175" s="14">
        <f t="shared" si="161"/>
        <v>110</v>
      </c>
      <c r="BE175" s="14">
        <f t="shared" si="162"/>
        <v>242</v>
      </c>
      <c r="BF175" s="2">
        <f t="shared" si="156"/>
        <v>352</v>
      </c>
      <c r="BG175" s="2">
        <f t="shared" si="157"/>
        <v>66</v>
      </c>
    </row>
    <row r="176" spans="1:59" x14ac:dyDescent="0.3">
      <c r="A176" s="9" t="s">
        <v>30</v>
      </c>
      <c r="B176" s="2">
        <v>289</v>
      </c>
      <c r="C176" s="99">
        <f>ROUND(Load!$H$43+'2022'!$E$190*0.485/744,0)</f>
        <v>164</v>
      </c>
      <c r="D176" s="2">
        <f t="shared" si="149"/>
        <v>453</v>
      </c>
      <c r="E176" s="9" t="s">
        <v>30</v>
      </c>
      <c r="F176" s="2">
        <f>'Hoover with 30 MW Solar'!$F$39</f>
        <v>32</v>
      </c>
      <c r="G176" s="2">
        <v>35</v>
      </c>
      <c r="H176" s="2"/>
      <c r="I176" s="77">
        <v>75</v>
      </c>
      <c r="J176" s="78"/>
      <c r="K176" s="78"/>
      <c r="L176" s="78"/>
      <c r="M176" s="78"/>
      <c r="N176" s="108"/>
      <c r="O176" s="108"/>
      <c r="P176" s="108"/>
      <c r="Q176" s="108"/>
      <c r="R176" s="108"/>
      <c r="S176" s="108"/>
      <c r="T176" s="108"/>
      <c r="U176" s="109"/>
      <c r="V176" s="2">
        <f t="shared" si="150"/>
        <v>142</v>
      </c>
      <c r="W176" s="10"/>
      <c r="X176" s="13">
        <f t="shared" si="151"/>
        <v>311</v>
      </c>
      <c r="Y176" s="10"/>
      <c r="Z176" s="14">
        <f t="shared" si="158"/>
        <v>110</v>
      </c>
      <c r="AA176" s="14">
        <f t="shared" si="163"/>
        <v>142</v>
      </c>
      <c r="AB176" s="2">
        <f t="shared" si="160"/>
        <v>252</v>
      </c>
      <c r="AC176" s="2">
        <f t="shared" si="152"/>
        <v>-59</v>
      </c>
      <c r="AE176" s="9" t="s">
        <v>30</v>
      </c>
      <c r="AF176" s="2">
        <v>289</v>
      </c>
      <c r="AG176" s="99">
        <f>ROUND(Load!$H$43+'2022'!$E$190*0.485/744,0)</f>
        <v>164</v>
      </c>
      <c r="AH176" s="2">
        <f t="shared" si="153"/>
        <v>453</v>
      </c>
      <c r="AI176" s="9" t="s">
        <v>30</v>
      </c>
      <c r="AJ176" s="2">
        <f>'Hoover with 30 MW Solar'!$F$39</f>
        <v>32</v>
      </c>
      <c r="AK176" s="2">
        <v>35</v>
      </c>
      <c r="AL176" s="314"/>
      <c r="AM176" s="77"/>
      <c r="AN176" s="78">
        <v>100</v>
      </c>
      <c r="AO176" s="78"/>
      <c r="AP176" s="78"/>
      <c r="AQ176" s="78"/>
      <c r="AR176" s="108"/>
      <c r="AS176" s="108"/>
      <c r="AT176" s="108"/>
      <c r="AU176" s="108"/>
      <c r="AV176" s="108"/>
      <c r="AW176" s="108"/>
      <c r="AX176" s="108"/>
      <c r="AY176" s="109"/>
      <c r="AZ176" s="2">
        <f t="shared" si="154"/>
        <v>167</v>
      </c>
      <c r="BA176" s="10"/>
      <c r="BB176" s="13">
        <f t="shared" si="155"/>
        <v>286</v>
      </c>
      <c r="BC176" s="10"/>
      <c r="BD176" s="14">
        <f t="shared" si="161"/>
        <v>110</v>
      </c>
      <c r="BE176" s="14">
        <f t="shared" si="162"/>
        <v>242</v>
      </c>
      <c r="BF176" s="2">
        <f t="shared" si="156"/>
        <v>352</v>
      </c>
      <c r="BG176" s="2">
        <f t="shared" si="157"/>
        <v>66</v>
      </c>
    </row>
    <row r="177" spans="1:59" x14ac:dyDescent="0.3">
      <c r="A177" s="9" t="s">
        <v>31</v>
      </c>
      <c r="B177" s="2">
        <v>289</v>
      </c>
      <c r="C177" s="99">
        <f>ROUND(Load!$H$43+'2022'!$E$190*0.485/744,0)</f>
        <v>164</v>
      </c>
      <c r="D177" s="2">
        <f t="shared" si="149"/>
        <v>453</v>
      </c>
      <c r="E177" s="9" t="s">
        <v>31</v>
      </c>
      <c r="F177" s="2">
        <f>'Hoover with 30 MW Solar'!$F$39</f>
        <v>32</v>
      </c>
      <c r="G177" s="2">
        <v>35</v>
      </c>
      <c r="H177" s="2"/>
      <c r="I177" s="77">
        <v>75</v>
      </c>
      <c r="J177" s="78"/>
      <c r="K177" s="78"/>
      <c r="L177" s="78"/>
      <c r="M177" s="78"/>
      <c r="N177" s="108"/>
      <c r="O177" s="108"/>
      <c r="P177" s="108"/>
      <c r="Q177" s="108"/>
      <c r="R177" s="108"/>
      <c r="S177" s="108"/>
      <c r="T177" s="108"/>
      <c r="U177" s="109"/>
      <c r="V177" s="2">
        <f t="shared" si="150"/>
        <v>142</v>
      </c>
      <c r="W177" s="10"/>
      <c r="X177" s="13">
        <f t="shared" si="151"/>
        <v>311</v>
      </c>
      <c r="Y177" s="10"/>
      <c r="Z177" s="14">
        <f t="shared" si="158"/>
        <v>110</v>
      </c>
      <c r="AA177" s="14">
        <f t="shared" si="163"/>
        <v>142</v>
      </c>
      <c r="AB177" s="2">
        <f t="shared" si="160"/>
        <v>252</v>
      </c>
      <c r="AC177" s="2">
        <f t="shared" si="152"/>
        <v>-59</v>
      </c>
      <c r="AE177" s="9" t="s">
        <v>31</v>
      </c>
      <c r="AF177" s="2">
        <v>289</v>
      </c>
      <c r="AG177" s="99">
        <f>ROUND(Load!$H$43+'2022'!$E$190*0.485/744,0)</f>
        <v>164</v>
      </c>
      <c r="AH177" s="2">
        <f t="shared" si="153"/>
        <v>453</v>
      </c>
      <c r="AI177" s="9" t="s">
        <v>31</v>
      </c>
      <c r="AJ177" s="2">
        <f>'Hoover with 30 MW Solar'!$F$39</f>
        <v>32</v>
      </c>
      <c r="AK177" s="2">
        <v>35</v>
      </c>
      <c r="AL177" s="314"/>
      <c r="AM177" s="77"/>
      <c r="AN177" s="78">
        <v>100</v>
      </c>
      <c r="AO177" s="78"/>
      <c r="AP177" s="78"/>
      <c r="AQ177" s="78"/>
      <c r="AR177" s="108"/>
      <c r="AS177" s="108"/>
      <c r="AT177" s="108"/>
      <c r="AU177" s="108"/>
      <c r="AV177" s="108"/>
      <c r="AW177" s="108"/>
      <c r="AX177" s="108"/>
      <c r="AY177" s="109"/>
      <c r="AZ177" s="2">
        <f t="shared" si="154"/>
        <v>167</v>
      </c>
      <c r="BA177" s="10"/>
      <c r="BB177" s="13">
        <f t="shared" si="155"/>
        <v>286</v>
      </c>
      <c r="BC177" s="10"/>
      <c r="BD177" s="14">
        <f t="shared" si="161"/>
        <v>110</v>
      </c>
      <c r="BE177" s="14">
        <f t="shared" si="162"/>
        <v>242</v>
      </c>
      <c r="BF177" s="2">
        <f t="shared" si="156"/>
        <v>352</v>
      </c>
      <c r="BG177" s="2">
        <f t="shared" si="157"/>
        <v>66</v>
      </c>
    </row>
    <row r="178" spans="1:59" x14ac:dyDescent="0.3">
      <c r="A178" s="9" t="s">
        <v>32</v>
      </c>
      <c r="B178" s="2">
        <v>289</v>
      </c>
      <c r="C178" s="99">
        <f>ROUND(Load!$H$43+'2022'!$E$190*0.485/744,0)</f>
        <v>164</v>
      </c>
      <c r="D178" s="2">
        <f t="shared" si="149"/>
        <v>453</v>
      </c>
      <c r="E178" s="9" t="s">
        <v>32</v>
      </c>
      <c r="F178" s="2">
        <f>'Hoover with 30 MW Solar'!$F$39</f>
        <v>32</v>
      </c>
      <c r="G178" s="2">
        <v>35</v>
      </c>
      <c r="H178" s="2"/>
      <c r="I178" s="77">
        <v>75</v>
      </c>
      <c r="J178" s="78"/>
      <c r="K178" s="78"/>
      <c r="L178" s="78"/>
      <c r="M178" s="78"/>
      <c r="N178" s="108"/>
      <c r="O178" s="108"/>
      <c r="P178" s="108"/>
      <c r="Q178" s="108"/>
      <c r="R178" s="108"/>
      <c r="S178" s="108"/>
      <c r="T178" s="108"/>
      <c r="U178" s="109"/>
      <c r="V178" s="2">
        <f t="shared" si="150"/>
        <v>142</v>
      </c>
      <c r="W178" s="10"/>
      <c r="X178" s="13">
        <f t="shared" si="151"/>
        <v>311</v>
      </c>
      <c r="Y178" s="10"/>
      <c r="Z178" s="14">
        <f t="shared" si="158"/>
        <v>110</v>
      </c>
      <c r="AA178" s="14">
        <f t="shared" si="163"/>
        <v>142</v>
      </c>
      <c r="AB178" s="2">
        <f t="shared" si="160"/>
        <v>252</v>
      </c>
      <c r="AC178" s="2">
        <f t="shared" si="152"/>
        <v>-59</v>
      </c>
      <c r="AE178" s="9" t="s">
        <v>32</v>
      </c>
      <c r="AF178" s="2">
        <v>289</v>
      </c>
      <c r="AG178" s="99">
        <f>ROUND(Load!$H$43+'2022'!$E$190*0.485/744,0)</f>
        <v>164</v>
      </c>
      <c r="AH178" s="2">
        <f t="shared" si="153"/>
        <v>453</v>
      </c>
      <c r="AI178" s="9" t="s">
        <v>32</v>
      </c>
      <c r="AJ178" s="2">
        <f>'Hoover with 30 MW Solar'!$F$39</f>
        <v>32</v>
      </c>
      <c r="AK178" s="2">
        <v>35</v>
      </c>
      <c r="AL178" s="314"/>
      <c r="AM178" s="77"/>
      <c r="AN178" s="78">
        <v>100</v>
      </c>
      <c r="AO178" s="78"/>
      <c r="AP178" s="78"/>
      <c r="AQ178" s="78"/>
      <c r="AR178" s="108"/>
      <c r="AS178" s="108"/>
      <c r="AT178" s="108"/>
      <c r="AU178" s="108"/>
      <c r="AV178" s="108"/>
      <c r="AW178" s="108"/>
      <c r="AX178" s="108"/>
      <c r="AY178" s="109"/>
      <c r="AZ178" s="2">
        <f t="shared" si="154"/>
        <v>167</v>
      </c>
      <c r="BA178" s="10"/>
      <c r="BB178" s="13">
        <f t="shared" si="155"/>
        <v>286</v>
      </c>
      <c r="BC178" s="10"/>
      <c r="BD178" s="14">
        <f t="shared" si="161"/>
        <v>110</v>
      </c>
      <c r="BE178" s="14">
        <f t="shared" si="162"/>
        <v>242</v>
      </c>
      <c r="BF178" s="2">
        <f t="shared" si="156"/>
        <v>352</v>
      </c>
      <c r="BG178" s="2">
        <f t="shared" si="157"/>
        <v>66</v>
      </c>
    </row>
    <row r="179" spans="1:59" x14ac:dyDescent="0.3">
      <c r="A179" s="9" t="s">
        <v>33</v>
      </c>
      <c r="B179" s="2">
        <v>289</v>
      </c>
      <c r="C179" s="99">
        <f>ROUND(Load!$H$43+'2022'!$E$190*0.485/744,0)</f>
        <v>164</v>
      </c>
      <c r="D179" s="2">
        <f t="shared" si="149"/>
        <v>453</v>
      </c>
      <c r="E179" s="9" t="s">
        <v>33</v>
      </c>
      <c r="F179" s="2">
        <f>'Hoover with 30 MW Solar'!$F$39</f>
        <v>32</v>
      </c>
      <c r="G179" s="2">
        <v>35</v>
      </c>
      <c r="H179" s="2"/>
      <c r="I179" s="77">
        <v>75</v>
      </c>
      <c r="J179" s="78"/>
      <c r="K179" s="78"/>
      <c r="L179" s="78"/>
      <c r="M179" s="78"/>
      <c r="N179" s="108"/>
      <c r="O179" s="108"/>
      <c r="P179" s="108"/>
      <c r="Q179" s="108"/>
      <c r="R179" s="108"/>
      <c r="S179" s="108"/>
      <c r="T179" s="108"/>
      <c r="U179" s="109"/>
      <c r="V179" s="2">
        <f t="shared" si="150"/>
        <v>142</v>
      </c>
      <c r="W179" s="10"/>
      <c r="X179" s="13">
        <f t="shared" si="151"/>
        <v>311</v>
      </c>
      <c r="Y179" s="10"/>
      <c r="Z179" s="14">
        <f>142-F179-H179-M179</f>
        <v>110</v>
      </c>
      <c r="AA179" s="14">
        <f t="shared" si="163"/>
        <v>142</v>
      </c>
      <c r="AB179" s="2">
        <f t="shared" si="160"/>
        <v>252</v>
      </c>
      <c r="AC179" s="2">
        <f t="shared" si="152"/>
        <v>-59</v>
      </c>
      <c r="AE179" s="9" t="s">
        <v>33</v>
      </c>
      <c r="AF179" s="2">
        <v>289</v>
      </c>
      <c r="AG179" s="99">
        <f>ROUND(Load!$H$43+'2022'!$E$190*0.485/744,0)</f>
        <v>164</v>
      </c>
      <c r="AH179" s="2">
        <f t="shared" si="153"/>
        <v>453</v>
      </c>
      <c r="AI179" s="9" t="s">
        <v>33</v>
      </c>
      <c r="AJ179" s="2">
        <f>'Hoover with 30 MW Solar'!$F$39</f>
        <v>32</v>
      </c>
      <c r="AK179" s="2">
        <v>35</v>
      </c>
      <c r="AL179" s="314"/>
      <c r="AM179" s="77"/>
      <c r="AN179" s="78">
        <v>100</v>
      </c>
      <c r="AO179" s="78"/>
      <c r="AP179" s="78"/>
      <c r="AQ179" s="78"/>
      <c r="AR179" s="108"/>
      <c r="AS179" s="108"/>
      <c r="AT179" s="108"/>
      <c r="AU179" s="108"/>
      <c r="AV179" s="108"/>
      <c r="AW179" s="108"/>
      <c r="AX179" s="108"/>
      <c r="AY179" s="109"/>
      <c r="AZ179" s="2">
        <f t="shared" si="154"/>
        <v>167</v>
      </c>
      <c r="BA179" s="10"/>
      <c r="BB179" s="13">
        <f t="shared" si="155"/>
        <v>286</v>
      </c>
      <c r="BC179" s="10"/>
      <c r="BD179" s="14">
        <f t="shared" si="161"/>
        <v>110</v>
      </c>
      <c r="BE179" s="14">
        <f t="shared" si="162"/>
        <v>242</v>
      </c>
      <c r="BF179" s="2">
        <f t="shared" si="156"/>
        <v>352</v>
      </c>
      <c r="BG179" s="2">
        <f t="shared" si="157"/>
        <v>66</v>
      </c>
    </row>
    <row r="180" spans="1:59" x14ac:dyDescent="0.3">
      <c r="A180" s="9" t="s">
        <v>34</v>
      </c>
      <c r="B180" s="2">
        <v>289</v>
      </c>
      <c r="C180" s="99">
        <f>ROUND(Load!$H$43+'2022'!$E$190*0.485/744,0)</f>
        <v>164</v>
      </c>
      <c r="D180" s="2">
        <f t="shared" si="149"/>
        <v>453</v>
      </c>
      <c r="E180" s="9" t="s">
        <v>34</v>
      </c>
      <c r="F180" s="2">
        <f>'Hoover with 30 MW Solar'!$F$39</f>
        <v>32</v>
      </c>
      <c r="G180" s="2">
        <v>35</v>
      </c>
      <c r="H180" s="2"/>
      <c r="I180" s="77">
        <v>75</v>
      </c>
      <c r="J180" s="78"/>
      <c r="K180" s="78"/>
      <c r="L180" s="78"/>
      <c r="M180" s="78"/>
      <c r="N180" s="108"/>
      <c r="O180" s="108"/>
      <c r="P180" s="108"/>
      <c r="Q180" s="108"/>
      <c r="R180" s="108"/>
      <c r="S180" s="108"/>
      <c r="T180" s="108"/>
      <c r="U180" s="109"/>
      <c r="V180" s="2">
        <f t="shared" si="150"/>
        <v>142</v>
      </c>
      <c r="W180" s="10"/>
      <c r="X180" s="13">
        <f t="shared" si="151"/>
        <v>311</v>
      </c>
      <c r="Y180" s="10"/>
      <c r="Z180" s="14">
        <f t="shared" si="158"/>
        <v>110</v>
      </c>
      <c r="AA180" s="14">
        <f t="shared" si="163"/>
        <v>142</v>
      </c>
      <c r="AB180" s="2">
        <f t="shared" si="160"/>
        <v>252</v>
      </c>
      <c r="AC180" s="2">
        <f t="shared" si="152"/>
        <v>-59</v>
      </c>
      <c r="AE180" s="9" t="s">
        <v>34</v>
      </c>
      <c r="AF180" s="2">
        <v>289</v>
      </c>
      <c r="AG180" s="99">
        <f>ROUND(Load!$H$43+'2022'!$E$190*0.485/744,0)</f>
        <v>164</v>
      </c>
      <c r="AH180" s="2">
        <f t="shared" si="153"/>
        <v>453</v>
      </c>
      <c r="AI180" s="9" t="s">
        <v>34</v>
      </c>
      <c r="AJ180" s="2">
        <f>'Hoover with 30 MW Solar'!$F$39</f>
        <v>32</v>
      </c>
      <c r="AK180" s="2">
        <v>35</v>
      </c>
      <c r="AL180" s="314"/>
      <c r="AM180" s="77"/>
      <c r="AN180" s="78">
        <v>100</v>
      </c>
      <c r="AO180" s="78"/>
      <c r="AP180" s="78"/>
      <c r="AQ180" s="78"/>
      <c r="AR180" s="108"/>
      <c r="AS180" s="108"/>
      <c r="AT180" s="108"/>
      <c r="AU180" s="108"/>
      <c r="AV180" s="108"/>
      <c r="AW180" s="108"/>
      <c r="AX180" s="108"/>
      <c r="AY180" s="109"/>
      <c r="AZ180" s="2">
        <f t="shared" si="154"/>
        <v>167</v>
      </c>
      <c r="BA180" s="10"/>
      <c r="BB180" s="13">
        <f t="shared" si="155"/>
        <v>286</v>
      </c>
      <c r="BC180" s="10"/>
      <c r="BD180" s="14">
        <f t="shared" si="161"/>
        <v>110</v>
      </c>
      <c r="BE180" s="14">
        <f t="shared" si="162"/>
        <v>242</v>
      </c>
      <c r="BF180" s="2">
        <f t="shared" si="156"/>
        <v>352</v>
      </c>
      <c r="BG180" s="2">
        <f t="shared" si="157"/>
        <v>66</v>
      </c>
    </row>
    <row r="181" spans="1:59" x14ac:dyDescent="0.3">
      <c r="A181" s="9" t="s">
        <v>35</v>
      </c>
      <c r="B181" s="2">
        <v>289</v>
      </c>
      <c r="C181" s="99">
        <f>ROUND(Load!$H$43+'2022'!$E$190*0.485/744,0)</f>
        <v>164</v>
      </c>
      <c r="D181" s="2">
        <f t="shared" si="149"/>
        <v>453</v>
      </c>
      <c r="E181" s="9" t="s">
        <v>35</v>
      </c>
      <c r="F181" s="2">
        <f>'Hoover with 30 MW Solar'!$F$39</f>
        <v>32</v>
      </c>
      <c r="G181" s="2">
        <v>35</v>
      </c>
      <c r="H181" s="2"/>
      <c r="I181" s="77">
        <v>75</v>
      </c>
      <c r="J181" s="78"/>
      <c r="K181" s="78"/>
      <c r="L181" s="78"/>
      <c r="M181" s="78"/>
      <c r="N181" s="108"/>
      <c r="O181" s="108"/>
      <c r="P181" s="108"/>
      <c r="Q181" s="108"/>
      <c r="R181" s="108"/>
      <c r="S181" s="108"/>
      <c r="T181" s="108"/>
      <c r="U181" s="109"/>
      <c r="V181" s="2">
        <f t="shared" si="150"/>
        <v>142</v>
      </c>
      <c r="W181" s="10"/>
      <c r="X181" s="13">
        <f t="shared" si="151"/>
        <v>311</v>
      </c>
      <c r="Y181" s="10"/>
      <c r="Z181" s="14">
        <f t="shared" si="158"/>
        <v>110</v>
      </c>
      <c r="AA181" s="14">
        <f t="shared" si="163"/>
        <v>142</v>
      </c>
      <c r="AB181" s="2">
        <f t="shared" si="160"/>
        <v>252</v>
      </c>
      <c r="AC181" s="2">
        <f t="shared" si="152"/>
        <v>-59</v>
      </c>
      <c r="AE181" s="9" t="s">
        <v>35</v>
      </c>
      <c r="AF181" s="2">
        <v>289</v>
      </c>
      <c r="AG181" s="99">
        <f>ROUND(Load!$H$43+'2022'!$E$190*0.485/744,0)</f>
        <v>164</v>
      </c>
      <c r="AH181" s="2">
        <f t="shared" si="153"/>
        <v>453</v>
      </c>
      <c r="AI181" s="9" t="s">
        <v>35</v>
      </c>
      <c r="AJ181" s="2">
        <f>'Hoover with 30 MW Solar'!$F$39</f>
        <v>32</v>
      </c>
      <c r="AK181" s="2">
        <v>35</v>
      </c>
      <c r="AL181" s="314"/>
      <c r="AM181" s="77"/>
      <c r="AN181" s="78">
        <v>100</v>
      </c>
      <c r="AO181" s="78"/>
      <c r="AP181" s="78"/>
      <c r="AQ181" s="78"/>
      <c r="AR181" s="108"/>
      <c r="AS181" s="108"/>
      <c r="AT181" s="108"/>
      <c r="AU181" s="108"/>
      <c r="AV181" s="108"/>
      <c r="AW181" s="108"/>
      <c r="AX181" s="108"/>
      <c r="AY181" s="109"/>
      <c r="AZ181" s="2">
        <f t="shared" si="154"/>
        <v>167</v>
      </c>
      <c r="BA181" s="10"/>
      <c r="BB181" s="13">
        <f t="shared" si="155"/>
        <v>286</v>
      </c>
      <c r="BC181" s="10"/>
      <c r="BD181" s="14">
        <f t="shared" si="161"/>
        <v>110</v>
      </c>
      <c r="BE181" s="14">
        <f t="shared" si="162"/>
        <v>242</v>
      </c>
      <c r="BF181" s="2">
        <f t="shared" si="156"/>
        <v>352</v>
      </c>
      <c r="BG181" s="2">
        <f t="shared" si="157"/>
        <v>66</v>
      </c>
    </row>
    <row r="182" spans="1:59" x14ac:dyDescent="0.3">
      <c r="A182" s="9" t="s">
        <v>36</v>
      </c>
      <c r="B182" s="2">
        <v>289</v>
      </c>
      <c r="C182" s="99">
        <f>ROUND(Load!$H$43+'2022'!$E$190*0.485/744,0)</f>
        <v>164</v>
      </c>
      <c r="D182" s="2">
        <f t="shared" si="149"/>
        <v>453</v>
      </c>
      <c r="E182" s="9" t="s">
        <v>36</v>
      </c>
      <c r="F182" s="2">
        <f>'Hoover with 30 MW Solar'!$F$39</f>
        <v>32</v>
      </c>
      <c r="G182" s="2">
        <v>35</v>
      </c>
      <c r="H182" s="2">
        <v>42</v>
      </c>
      <c r="I182" s="77">
        <v>75</v>
      </c>
      <c r="J182" s="78"/>
      <c r="K182" s="78"/>
      <c r="L182" s="78"/>
      <c r="M182" s="78"/>
      <c r="N182" s="108"/>
      <c r="O182" s="108"/>
      <c r="P182" s="108"/>
      <c r="Q182" s="108"/>
      <c r="R182" s="108"/>
      <c r="S182" s="108"/>
      <c r="T182" s="108"/>
      <c r="U182" s="109"/>
      <c r="V182" s="2">
        <f t="shared" si="150"/>
        <v>184</v>
      </c>
      <c r="W182" s="10"/>
      <c r="X182" s="13">
        <f t="shared" si="151"/>
        <v>269</v>
      </c>
      <c r="Y182" s="10"/>
      <c r="Z182" s="14">
        <f t="shared" si="158"/>
        <v>68</v>
      </c>
      <c r="AA182" s="14">
        <f t="shared" si="163"/>
        <v>142</v>
      </c>
      <c r="AB182" s="2">
        <f t="shared" si="160"/>
        <v>210</v>
      </c>
      <c r="AC182" s="2">
        <f t="shared" si="152"/>
        <v>-59</v>
      </c>
      <c r="AE182" s="9" t="s">
        <v>36</v>
      </c>
      <c r="AF182" s="2">
        <v>289</v>
      </c>
      <c r="AG182" s="99">
        <f>ROUND(Load!$H$43+'2022'!$E$190*0.485/744,0)</f>
        <v>164</v>
      </c>
      <c r="AH182" s="2">
        <f t="shared" si="153"/>
        <v>453</v>
      </c>
      <c r="AI182" s="9" t="s">
        <v>36</v>
      </c>
      <c r="AJ182" s="2">
        <f>'Hoover with 30 MW Solar'!$F$39</f>
        <v>32</v>
      </c>
      <c r="AK182" s="2">
        <v>35</v>
      </c>
      <c r="AL182" s="314">
        <v>42</v>
      </c>
      <c r="AM182" s="77"/>
      <c r="AN182" s="78">
        <v>100</v>
      </c>
      <c r="AO182" s="78"/>
      <c r="AP182" s="78"/>
      <c r="AQ182" s="78"/>
      <c r="AR182" s="108"/>
      <c r="AS182" s="108"/>
      <c r="AT182" s="108"/>
      <c r="AU182" s="108"/>
      <c r="AV182" s="108"/>
      <c r="AW182" s="108"/>
      <c r="AX182" s="108"/>
      <c r="AY182" s="109"/>
      <c r="AZ182" s="2">
        <f t="shared" si="154"/>
        <v>209</v>
      </c>
      <c r="BA182" s="10"/>
      <c r="BB182" s="13">
        <f t="shared" si="155"/>
        <v>244</v>
      </c>
      <c r="BC182" s="10"/>
      <c r="BD182" s="14">
        <f t="shared" si="161"/>
        <v>68</v>
      </c>
      <c r="BE182" s="14">
        <f t="shared" si="162"/>
        <v>242</v>
      </c>
      <c r="BF182" s="2">
        <f t="shared" si="156"/>
        <v>310</v>
      </c>
      <c r="BG182" s="2">
        <f t="shared" si="157"/>
        <v>66</v>
      </c>
    </row>
    <row r="183" spans="1:59" x14ac:dyDescent="0.3">
      <c r="A183" s="9" t="s">
        <v>37</v>
      </c>
      <c r="B183" s="2"/>
      <c r="C183" s="99">
        <f>ROUND(Load!$H$43+'2022'!$E$190*0.485/744,0)</f>
        <v>164</v>
      </c>
      <c r="D183" s="2">
        <f t="shared" si="149"/>
        <v>164</v>
      </c>
      <c r="E183" s="9" t="s">
        <v>37</v>
      </c>
      <c r="F183" s="2">
        <f>'Hoover with 30 MW Solar'!$F$39</f>
        <v>32</v>
      </c>
      <c r="G183" s="2">
        <v>35</v>
      </c>
      <c r="H183" s="2">
        <v>52</v>
      </c>
      <c r="I183" s="77">
        <v>75</v>
      </c>
      <c r="J183" s="78"/>
      <c r="K183" s="78"/>
      <c r="L183" s="78"/>
      <c r="M183" s="78"/>
      <c r="N183" s="108"/>
      <c r="O183" s="108"/>
      <c r="P183" s="108"/>
      <c r="Q183" s="108"/>
      <c r="R183" s="108"/>
      <c r="S183" s="108"/>
      <c r="T183" s="108"/>
      <c r="U183" s="109"/>
      <c r="V183" s="2">
        <f t="shared" si="150"/>
        <v>194</v>
      </c>
      <c r="W183" s="10"/>
      <c r="X183" s="13">
        <f t="shared" si="151"/>
        <v>-30</v>
      </c>
      <c r="Y183" s="10"/>
      <c r="Z183" s="14">
        <f t="shared" si="158"/>
        <v>58</v>
      </c>
      <c r="AA183" s="14">
        <f t="shared" si="163"/>
        <v>142</v>
      </c>
      <c r="AB183" s="2">
        <f t="shared" si="160"/>
        <v>200</v>
      </c>
      <c r="AC183" s="2">
        <f t="shared" si="152"/>
        <v>230</v>
      </c>
      <c r="AE183" s="9" t="s">
        <v>37</v>
      </c>
      <c r="AF183" s="2"/>
      <c r="AG183" s="99">
        <f>ROUND(Load!$H$43+'2022'!$E$190*0.485/744,0)</f>
        <v>164</v>
      </c>
      <c r="AH183" s="2">
        <f t="shared" si="153"/>
        <v>164</v>
      </c>
      <c r="AI183" s="9" t="s">
        <v>37</v>
      </c>
      <c r="AJ183" s="2">
        <f>'Hoover with 30 MW Solar'!$F$39</f>
        <v>32</v>
      </c>
      <c r="AK183" s="2">
        <v>35</v>
      </c>
      <c r="AL183" s="314">
        <v>52</v>
      </c>
      <c r="AM183" s="77"/>
      <c r="AN183" s="78">
        <v>100</v>
      </c>
      <c r="AO183" s="78"/>
      <c r="AP183" s="78"/>
      <c r="AQ183" s="78"/>
      <c r="AR183" s="108"/>
      <c r="AS183" s="108"/>
      <c r="AT183" s="108"/>
      <c r="AU183" s="108"/>
      <c r="AV183" s="108"/>
      <c r="AW183" s="108"/>
      <c r="AX183" s="108"/>
      <c r="AY183" s="109"/>
      <c r="AZ183" s="2">
        <f t="shared" si="154"/>
        <v>219</v>
      </c>
      <c r="BA183" s="10"/>
      <c r="BB183" s="13">
        <f t="shared" si="155"/>
        <v>-55</v>
      </c>
      <c r="BC183" s="10"/>
      <c r="BD183" s="14">
        <f t="shared" si="161"/>
        <v>58</v>
      </c>
      <c r="BE183" s="14">
        <f t="shared" si="162"/>
        <v>242</v>
      </c>
      <c r="BF183" s="2">
        <f t="shared" si="156"/>
        <v>300</v>
      </c>
      <c r="BG183" s="2">
        <f t="shared" si="157"/>
        <v>355</v>
      </c>
    </row>
    <row r="184" spans="1:59" x14ac:dyDescent="0.3">
      <c r="A184" s="9" t="s">
        <v>38</v>
      </c>
      <c r="B184" s="2"/>
      <c r="C184" s="99">
        <f>ROUND(Load!$H$43+'2022'!$E$190*0.485/744,0)</f>
        <v>164</v>
      </c>
      <c r="D184" s="2">
        <f t="shared" si="149"/>
        <v>164</v>
      </c>
      <c r="E184" s="9" t="s">
        <v>38</v>
      </c>
      <c r="F184" s="2">
        <f>'Hoover with 30 MW Solar'!$F$39</f>
        <v>32</v>
      </c>
      <c r="G184" s="2">
        <v>35</v>
      </c>
      <c r="H184" s="2">
        <v>52</v>
      </c>
      <c r="I184" s="77">
        <v>75</v>
      </c>
      <c r="J184" s="78"/>
      <c r="K184" s="78"/>
      <c r="L184" s="78"/>
      <c r="M184" s="78"/>
      <c r="N184" s="108"/>
      <c r="O184" s="108"/>
      <c r="P184" s="108"/>
      <c r="Q184" s="108"/>
      <c r="R184" s="108"/>
      <c r="S184" s="108"/>
      <c r="T184" s="108"/>
      <c r="U184" s="109"/>
      <c r="V184" s="2">
        <f t="shared" si="150"/>
        <v>194</v>
      </c>
      <c r="W184" s="10"/>
      <c r="X184" s="13">
        <f t="shared" si="151"/>
        <v>-30</v>
      </c>
      <c r="Y184" s="10"/>
      <c r="Z184" s="14">
        <f t="shared" si="158"/>
        <v>58</v>
      </c>
      <c r="AA184" s="14">
        <f t="shared" si="163"/>
        <v>142</v>
      </c>
      <c r="AB184" s="2">
        <f t="shared" si="160"/>
        <v>200</v>
      </c>
      <c r="AC184" s="2">
        <f t="shared" si="152"/>
        <v>230</v>
      </c>
      <c r="AE184" s="9" t="s">
        <v>38</v>
      </c>
      <c r="AF184" s="2"/>
      <c r="AG184" s="99">
        <f>ROUND(Load!$H$43+'2022'!$E$190*0.485/744,0)</f>
        <v>164</v>
      </c>
      <c r="AH184" s="2">
        <f t="shared" si="153"/>
        <v>164</v>
      </c>
      <c r="AI184" s="9" t="s">
        <v>38</v>
      </c>
      <c r="AJ184" s="2">
        <f>'Hoover with 30 MW Solar'!$F$39</f>
        <v>32</v>
      </c>
      <c r="AK184" s="2">
        <v>35</v>
      </c>
      <c r="AL184" s="314">
        <v>52</v>
      </c>
      <c r="AM184" s="77"/>
      <c r="AN184" s="78">
        <v>100</v>
      </c>
      <c r="AO184" s="78"/>
      <c r="AP184" s="78"/>
      <c r="AQ184" s="78"/>
      <c r="AR184" s="108"/>
      <c r="AS184" s="108"/>
      <c r="AT184" s="108"/>
      <c r="AU184" s="108"/>
      <c r="AV184" s="108"/>
      <c r="AW184" s="108"/>
      <c r="AX184" s="108"/>
      <c r="AY184" s="109"/>
      <c r="AZ184" s="2">
        <f t="shared" si="154"/>
        <v>219</v>
      </c>
      <c r="BA184" s="10"/>
      <c r="BB184" s="13">
        <f t="shared" si="155"/>
        <v>-55</v>
      </c>
      <c r="BC184" s="10"/>
      <c r="BD184" s="14">
        <f t="shared" si="161"/>
        <v>58</v>
      </c>
      <c r="BE184" s="14">
        <f t="shared" si="162"/>
        <v>242</v>
      </c>
      <c r="BF184" s="2">
        <f t="shared" si="156"/>
        <v>300</v>
      </c>
      <c r="BG184" s="2">
        <f t="shared" si="157"/>
        <v>355</v>
      </c>
    </row>
    <row r="185" spans="1:59" x14ac:dyDescent="0.3">
      <c r="A185" s="9" t="s">
        <v>39</v>
      </c>
      <c r="B185" s="2"/>
      <c r="C185" s="99">
        <f>ROUND(Load!$H$43+'2022'!$E$190*0.485/744,0)</f>
        <v>164</v>
      </c>
      <c r="D185" s="2">
        <f t="shared" si="149"/>
        <v>164</v>
      </c>
      <c r="E185" s="9" t="s">
        <v>39</v>
      </c>
      <c r="F185" s="2">
        <f>'Hoover with 30 MW Solar'!$F$39</f>
        <v>32</v>
      </c>
      <c r="G185" s="2">
        <v>35</v>
      </c>
      <c r="H185" s="2">
        <v>52</v>
      </c>
      <c r="I185" s="77">
        <v>75</v>
      </c>
      <c r="J185" s="78"/>
      <c r="K185" s="78"/>
      <c r="L185" s="78"/>
      <c r="M185" s="78"/>
      <c r="N185" s="108"/>
      <c r="O185" s="108"/>
      <c r="P185" s="108"/>
      <c r="Q185" s="108"/>
      <c r="R185" s="108"/>
      <c r="S185" s="108"/>
      <c r="T185" s="108"/>
      <c r="U185" s="109"/>
      <c r="V185" s="2">
        <f t="shared" si="150"/>
        <v>194</v>
      </c>
      <c r="W185" s="10"/>
      <c r="X185" s="13">
        <f t="shared" si="151"/>
        <v>-30</v>
      </c>
      <c r="Y185" s="10"/>
      <c r="Z185" s="14">
        <f t="shared" si="158"/>
        <v>58</v>
      </c>
      <c r="AA185" s="14">
        <f t="shared" si="163"/>
        <v>142</v>
      </c>
      <c r="AB185" s="2">
        <f t="shared" si="160"/>
        <v>200</v>
      </c>
      <c r="AC185" s="2">
        <f t="shared" si="152"/>
        <v>230</v>
      </c>
      <c r="AE185" s="9" t="s">
        <v>39</v>
      </c>
      <c r="AF185" s="2"/>
      <c r="AG185" s="99">
        <f>ROUND(Load!$H$43+'2022'!$E$190*0.485/744,0)</f>
        <v>164</v>
      </c>
      <c r="AH185" s="2">
        <f t="shared" si="153"/>
        <v>164</v>
      </c>
      <c r="AI185" s="9" t="s">
        <v>39</v>
      </c>
      <c r="AJ185" s="2">
        <f>'Hoover with 30 MW Solar'!$F$39</f>
        <v>32</v>
      </c>
      <c r="AK185" s="2">
        <v>35</v>
      </c>
      <c r="AL185" s="314">
        <v>52</v>
      </c>
      <c r="AM185" s="77"/>
      <c r="AN185" s="78">
        <v>100</v>
      </c>
      <c r="AO185" s="78"/>
      <c r="AP185" s="78"/>
      <c r="AQ185" s="78"/>
      <c r="AR185" s="108"/>
      <c r="AS185" s="108"/>
      <c r="AT185" s="108"/>
      <c r="AU185" s="108"/>
      <c r="AV185" s="108"/>
      <c r="AW185" s="108"/>
      <c r="AX185" s="108"/>
      <c r="AY185" s="109"/>
      <c r="AZ185" s="2">
        <f t="shared" si="154"/>
        <v>219</v>
      </c>
      <c r="BA185" s="10"/>
      <c r="BB185" s="13">
        <f t="shared" si="155"/>
        <v>-55</v>
      </c>
      <c r="BC185" s="10"/>
      <c r="BD185" s="14">
        <f t="shared" si="161"/>
        <v>58</v>
      </c>
      <c r="BE185" s="14">
        <f t="shared" si="162"/>
        <v>242</v>
      </c>
      <c r="BF185" s="2">
        <f t="shared" si="156"/>
        <v>300</v>
      </c>
      <c r="BG185" s="2">
        <f t="shared" si="157"/>
        <v>355</v>
      </c>
    </row>
    <row r="186" spans="1:59" x14ac:dyDescent="0.3">
      <c r="A186" s="9" t="s">
        <v>40</v>
      </c>
      <c r="B186" s="2"/>
      <c r="C186" s="99">
        <f>ROUND(Load!$H$43+'2022'!$E$190*0.485/744,0)</f>
        <v>164</v>
      </c>
      <c r="D186" s="2">
        <f t="shared" si="149"/>
        <v>164</v>
      </c>
      <c r="E186" s="9" t="s">
        <v>40</v>
      </c>
      <c r="F186" s="2">
        <f>'Hoover with 30 MW Solar'!$F$39</f>
        <v>32</v>
      </c>
      <c r="G186" s="2">
        <v>35</v>
      </c>
      <c r="H186" s="2">
        <v>52</v>
      </c>
      <c r="I186" s="77">
        <v>75</v>
      </c>
      <c r="J186" s="78"/>
      <c r="K186" s="78"/>
      <c r="L186" s="78"/>
      <c r="M186" s="78"/>
      <c r="N186" s="108"/>
      <c r="O186" s="108"/>
      <c r="P186" s="108"/>
      <c r="Q186" s="108"/>
      <c r="R186" s="108"/>
      <c r="S186" s="108"/>
      <c r="T186" s="108"/>
      <c r="U186" s="109"/>
      <c r="V186" s="2">
        <f t="shared" si="150"/>
        <v>194</v>
      </c>
      <c r="W186" s="10"/>
      <c r="X186" s="13">
        <f t="shared" si="151"/>
        <v>-30</v>
      </c>
      <c r="Y186" s="10"/>
      <c r="Z186" s="14">
        <f t="shared" si="158"/>
        <v>58</v>
      </c>
      <c r="AA186" s="14">
        <f t="shared" si="163"/>
        <v>142</v>
      </c>
      <c r="AB186" s="2">
        <f t="shared" si="160"/>
        <v>200</v>
      </c>
      <c r="AC186" s="2">
        <f t="shared" si="152"/>
        <v>230</v>
      </c>
      <c r="AE186" s="9" t="s">
        <v>40</v>
      </c>
      <c r="AF186" s="2"/>
      <c r="AG186" s="99">
        <f>ROUND(Load!$H$43+'2022'!$E$190*0.485/744,0)</f>
        <v>164</v>
      </c>
      <c r="AH186" s="2">
        <f t="shared" si="153"/>
        <v>164</v>
      </c>
      <c r="AI186" s="9" t="s">
        <v>40</v>
      </c>
      <c r="AJ186" s="2">
        <f>'Hoover with 30 MW Solar'!$F$39</f>
        <v>32</v>
      </c>
      <c r="AK186" s="2">
        <v>35</v>
      </c>
      <c r="AL186" s="314">
        <v>52</v>
      </c>
      <c r="AM186" s="77"/>
      <c r="AN186" s="78">
        <v>100</v>
      </c>
      <c r="AO186" s="78"/>
      <c r="AP186" s="78"/>
      <c r="AQ186" s="78"/>
      <c r="AR186" s="108"/>
      <c r="AS186" s="108"/>
      <c r="AT186" s="108"/>
      <c r="AU186" s="108"/>
      <c r="AV186" s="108"/>
      <c r="AW186" s="108"/>
      <c r="AX186" s="108"/>
      <c r="AY186" s="109"/>
      <c r="AZ186" s="2">
        <f t="shared" si="154"/>
        <v>219</v>
      </c>
      <c r="BA186" s="10"/>
      <c r="BB186" s="13">
        <f t="shared" si="155"/>
        <v>-55</v>
      </c>
      <c r="BC186" s="10"/>
      <c r="BD186" s="14">
        <f t="shared" si="161"/>
        <v>58</v>
      </c>
      <c r="BE186" s="14">
        <f t="shared" si="162"/>
        <v>242</v>
      </c>
      <c r="BF186" s="2">
        <f t="shared" si="156"/>
        <v>300</v>
      </c>
      <c r="BG186" s="2">
        <f t="shared" si="157"/>
        <v>355</v>
      </c>
    </row>
    <row r="187" spans="1:59" x14ac:dyDescent="0.3">
      <c r="A187" s="9" t="s">
        <v>41</v>
      </c>
      <c r="B187" s="2">
        <v>241</v>
      </c>
      <c r="C187" s="99">
        <f>ROUND(Load!$H$43+'2022'!$E$190*0.485/744,0)</f>
        <v>164</v>
      </c>
      <c r="D187" s="2">
        <f t="shared" si="149"/>
        <v>405</v>
      </c>
      <c r="E187" s="9" t="s">
        <v>41</v>
      </c>
      <c r="F187" s="2"/>
      <c r="G187" s="2">
        <v>35</v>
      </c>
      <c r="H187" s="2"/>
      <c r="I187" s="77"/>
      <c r="J187" s="78">
        <v>100</v>
      </c>
      <c r="K187" s="78"/>
      <c r="L187" s="78"/>
      <c r="M187" s="78"/>
      <c r="N187" s="108"/>
      <c r="O187" s="108"/>
      <c r="P187" s="108"/>
      <c r="Q187" s="108"/>
      <c r="R187" s="108"/>
      <c r="S187" s="108"/>
      <c r="T187" s="108"/>
      <c r="U187" s="109"/>
      <c r="V187" s="2">
        <f t="shared" si="150"/>
        <v>135</v>
      </c>
      <c r="W187" s="10"/>
      <c r="X187" s="11">
        <f t="shared" si="151"/>
        <v>270</v>
      </c>
      <c r="Y187" s="10"/>
      <c r="Z187" s="12">
        <f t="shared" si="158"/>
        <v>142</v>
      </c>
      <c r="AA187" s="12">
        <f t="shared" ref="AA187:AA188" si="164">342-I187-J187</f>
        <v>242</v>
      </c>
      <c r="AB187" s="2">
        <f t="shared" si="160"/>
        <v>384</v>
      </c>
      <c r="AC187" s="2">
        <f t="shared" si="152"/>
        <v>114</v>
      </c>
      <c r="AE187" s="9" t="s">
        <v>41</v>
      </c>
      <c r="AF187" s="2">
        <v>241</v>
      </c>
      <c r="AG187" s="99">
        <f>ROUND(Load!$H$43+'2022'!$E$190*0.485/744,0)</f>
        <v>164</v>
      </c>
      <c r="AH187" s="2">
        <f t="shared" si="153"/>
        <v>405</v>
      </c>
      <c r="AI187" s="9" t="s">
        <v>41</v>
      </c>
      <c r="AJ187" s="2"/>
      <c r="AK187" s="2">
        <v>35</v>
      </c>
      <c r="AL187" s="314"/>
      <c r="AM187" s="77"/>
      <c r="AN187" s="78">
        <v>100</v>
      </c>
      <c r="AO187" s="78"/>
      <c r="AP187" s="78"/>
      <c r="AQ187" s="78"/>
      <c r="AR187" s="108"/>
      <c r="AS187" s="108"/>
      <c r="AT187" s="108"/>
      <c r="AU187" s="108"/>
      <c r="AV187" s="108"/>
      <c r="AW187" s="108"/>
      <c r="AX187" s="108"/>
      <c r="AY187" s="109"/>
      <c r="AZ187" s="2">
        <f t="shared" si="154"/>
        <v>135</v>
      </c>
      <c r="BA187" s="10"/>
      <c r="BB187" s="11">
        <f t="shared" si="155"/>
        <v>270</v>
      </c>
      <c r="BC187" s="10"/>
      <c r="BD187" s="12">
        <f t="shared" si="161"/>
        <v>142</v>
      </c>
      <c r="BE187" s="12">
        <f t="shared" si="162"/>
        <v>242</v>
      </c>
      <c r="BF187" s="2">
        <f t="shared" si="156"/>
        <v>384</v>
      </c>
      <c r="BG187" s="2">
        <f t="shared" si="157"/>
        <v>114</v>
      </c>
    </row>
    <row r="188" spans="1:59" ht="15" thickBot="1" x14ac:dyDescent="0.35">
      <c r="A188" s="15" t="s">
        <v>42</v>
      </c>
      <c r="B188" s="16">
        <v>241</v>
      </c>
      <c r="C188" s="123">
        <f>ROUND(Load!$H$43+'2022'!$E$190*0.485/744,0)</f>
        <v>164</v>
      </c>
      <c r="D188" s="16">
        <f t="shared" si="149"/>
        <v>405</v>
      </c>
      <c r="E188" s="15" t="s">
        <v>42</v>
      </c>
      <c r="F188" s="16"/>
      <c r="G188" s="16">
        <v>35</v>
      </c>
      <c r="H188" s="16"/>
      <c r="I188" s="75"/>
      <c r="J188" s="76">
        <v>100</v>
      </c>
      <c r="K188" s="76"/>
      <c r="L188" s="76"/>
      <c r="M188" s="76"/>
      <c r="N188" s="106"/>
      <c r="O188" s="106"/>
      <c r="P188" s="106"/>
      <c r="Q188" s="106"/>
      <c r="R188" s="106"/>
      <c r="S188" s="106"/>
      <c r="T188" s="106"/>
      <c r="U188" s="107"/>
      <c r="V188" s="16">
        <f t="shared" si="150"/>
        <v>135</v>
      </c>
      <c r="W188" s="10"/>
      <c r="X188" s="17">
        <f t="shared" si="151"/>
        <v>270</v>
      </c>
      <c r="Y188" s="10"/>
      <c r="Z188" s="18">
        <f t="shared" si="158"/>
        <v>142</v>
      </c>
      <c r="AA188" s="18">
        <f t="shared" si="164"/>
        <v>242</v>
      </c>
      <c r="AB188" s="16">
        <f t="shared" si="160"/>
        <v>384</v>
      </c>
      <c r="AC188" s="16">
        <f t="shared" si="152"/>
        <v>114</v>
      </c>
      <c r="AE188" s="15" t="s">
        <v>42</v>
      </c>
      <c r="AF188" s="16">
        <v>241</v>
      </c>
      <c r="AG188" s="123">
        <f>ROUND(Load!$H$43+'2022'!$E$190*0.485/744,0)</f>
        <v>164</v>
      </c>
      <c r="AH188" s="16">
        <f t="shared" si="153"/>
        <v>405</v>
      </c>
      <c r="AI188" s="15" t="s">
        <v>42</v>
      </c>
      <c r="AJ188" s="16"/>
      <c r="AK188" s="16">
        <v>35</v>
      </c>
      <c r="AL188" s="16"/>
      <c r="AM188" s="75"/>
      <c r="AN188" s="76">
        <v>100</v>
      </c>
      <c r="AO188" s="76"/>
      <c r="AP188" s="76"/>
      <c r="AQ188" s="76"/>
      <c r="AR188" s="106"/>
      <c r="AS188" s="106"/>
      <c r="AT188" s="106"/>
      <c r="AU188" s="106"/>
      <c r="AV188" s="106"/>
      <c r="AW188" s="106"/>
      <c r="AX188" s="106"/>
      <c r="AY188" s="107"/>
      <c r="AZ188" s="16">
        <f t="shared" si="154"/>
        <v>135</v>
      </c>
      <c r="BA188" s="10"/>
      <c r="BB188" s="17">
        <f t="shared" si="155"/>
        <v>270</v>
      </c>
      <c r="BC188" s="10"/>
      <c r="BD188" s="18">
        <f t="shared" si="161"/>
        <v>142</v>
      </c>
      <c r="BE188" s="18">
        <f t="shared" si="162"/>
        <v>242</v>
      </c>
      <c r="BF188" s="16">
        <f t="shared" si="156"/>
        <v>384</v>
      </c>
      <c r="BG188" s="16">
        <f t="shared" si="157"/>
        <v>114</v>
      </c>
    </row>
    <row r="189" spans="1:59" ht="15" thickTop="1" x14ac:dyDescent="0.3">
      <c r="A189" s="2" t="s">
        <v>43</v>
      </c>
      <c r="B189" s="2">
        <f>SUM(B165:B188)</f>
        <v>4818</v>
      </c>
      <c r="C189" s="2">
        <f t="shared" ref="C189:D189" si="165">SUM(C165:C188)</f>
        <v>3936</v>
      </c>
      <c r="D189" s="2">
        <f t="shared" si="165"/>
        <v>8754</v>
      </c>
      <c r="E189" s="327" t="s">
        <v>406</v>
      </c>
      <c r="F189" s="2">
        <f t="shared" ref="F189:H189" si="166">SUM(F165:F188)</f>
        <v>512</v>
      </c>
      <c r="G189" s="2">
        <f t="shared" si="166"/>
        <v>840</v>
      </c>
      <c r="H189" s="2">
        <f t="shared" si="166"/>
        <v>250</v>
      </c>
      <c r="I189" s="2">
        <f>SUM(I165:I188)</f>
        <v>1200</v>
      </c>
      <c r="J189" s="2">
        <f t="shared" ref="J189:N189" si="167">SUM(J165:J188)</f>
        <v>800</v>
      </c>
      <c r="K189" s="2">
        <f t="shared" si="167"/>
        <v>0</v>
      </c>
      <c r="L189" s="2">
        <f t="shared" si="167"/>
        <v>0</v>
      </c>
      <c r="M189" s="2">
        <f t="shared" si="167"/>
        <v>0</v>
      </c>
      <c r="N189" s="2">
        <f t="shared" si="167"/>
        <v>0</v>
      </c>
      <c r="O189" s="2">
        <f t="shared" ref="O189:P189" si="168">SUM(O165:O188)</f>
        <v>0</v>
      </c>
      <c r="P189" s="2">
        <f t="shared" si="168"/>
        <v>0</v>
      </c>
      <c r="Q189" s="2">
        <f t="shared" ref="Q189" si="169">SUM(Q165:Q188)</f>
        <v>0</v>
      </c>
      <c r="R189" s="2">
        <f t="shared" ref="R189" si="170">SUM(R165:R188)</f>
        <v>0</v>
      </c>
      <c r="S189" s="2">
        <f t="shared" ref="S189" si="171">SUM(S165:S188)</f>
        <v>0</v>
      </c>
      <c r="T189" s="2">
        <f t="shared" ref="T189" si="172">SUM(T165:T188)</f>
        <v>0</v>
      </c>
      <c r="U189" s="2">
        <f t="shared" ref="U189" si="173">SUM(U165:U188)</f>
        <v>0</v>
      </c>
      <c r="V189" s="2">
        <f>SUM(V165:V188)</f>
        <v>3602</v>
      </c>
      <c r="W189" s="10"/>
      <c r="X189" s="19">
        <f>SUM(X165:X188)</f>
        <v>5152</v>
      </c>
      <c r="Y189" s="10"/>
      <c r="Z189" s="19">
        <f>SUM(Z165:Z188)</f>
        <v>2646</v>
      </c>
      <c r="AA189" s="19">
        <f>SUM(AA165:AA188)</f>
        <v>4208</v>
      </c>
      <c r="AB189" s="19">
        <f t="shared" ref="AB189:AC189" si="174">SUM(AB165:AB188)</f>
        <v>6854</v>
      </c>
      <c r="AC189" s="19">
        <f t="shared" si="174"/>
        <v>1702</v>
      </c>
      <c r="AE189" s="2" t="s">
        <v>43</v>
      </c>
      <c r="AF189" s="2">
        <f>SUM(AF165:AF188)</f>
        <v>4818</v>
      </c>
      <c r="AG189" s="2">
        <f t="shared" ref="AG189:AH189" si="175">SUM(AG165:AG188)</f>
        <v>3936</v>
      </c>
      <c r="AH189" s="2">
        <f t="shared" si="175"/>
        <v>8754</v>
      </c>
      <c r="AI189" s="92"/>
      <c r="AJ189" s="2">
        <f t="shared" ref="AJ189:AL189" si="176">SUM(AJ165:AJ188)</f>
        <v>512</v>
      </c>
      <c r="AK189" s="2">
        <f t="shared" si="176"/>
        <v>840</v>
      </c>
      <c r="AL189" s="2">
        <f t="shared" si="176"/>
        <v>250</v>
      </c>
      <c r="AM189" s="2">
        <f>SUM(AM165:AM188)</f>
        <v>0</v>
      </c>
      <c r="AN189" s="2">
        <f t="shared" ref="AN189:AO189" si="177">SUM(AN165:AN188)</f>
        <v>2400</v>
      </c>
      <c r="AO189" s="2">
        <f t="shared" si="177"/>
        <v>0</v>
      </c>
      <c r="AP189" s="2">
        <f>SUM(AP165:AP188)</f>
        <v>0</v>
      </c>
      <c r="AQ189" s="2">
        <f t="shared" ref="AQ189:AY189" si="178">SUM(AQ165:AQ188)</f>
        <v>0</v>
      </c>
      <c r="AR189" s="2">
        <f t="shared" si="178"/>
        <v>0</v>
      </c>
      <c r="AS189" s="2">
        <f t="shared" si="178"/>
        <v>0</v>
      </c>
      <c r="AT189" s="2">
        <f t="shared" si="178"/>
        <v>0</v>
      </c>
      <c r="AU189" s="2">
        <f t="shared" si="178"/>
        <v>0</v>
      </c>
      <c r="AV189" s="2">
        <f t="shared" si="178"/>
        <v>0</v>
      </c>
      <c r="AW189" s="2">
        <f t="shared" si="178"/>
        <v>0</v>
      </c>
      <c r="AX189" s="2">
        <f t="shared" si="178"/>
        <v>0</v>
      </c>
      <c r="AY189" s="2">
        <f t="shared" si="178"/>
        <v>0</v>
      </c>
      <c r="AZ189" s="2">
        <f>SUM(AZ165:AZ188)</f>
        <v>4002</v>
      </c>
      <c r="BA189" s="10"/>
      <c r="BB189" s="19">
        <f>SUM(BB165:BB188)</f>
        <v>4752</v>
      </c>
      <c r="BC189" s="10"/>
      <c r="BD189" s="19">
        <f>SUM(BD165:BD188)</f>
        <v>2646</v>
      </c>
      <c r="BE189" s="19">
        <f>SUM(BE165:BE188)</f>
        <v>5808</v>
      </c>
      <c r="BF189" s="19">
        <f>SUM(BF165:BF188)</f>
        <v>8454</v>
      </c>
      <c r="BG189" s="19">
        <f>SUM(BG165:BG188)</f>
        <v>3702</v>
      </c>
    </row>
    <row r="190" spans="1:59" x14ac:dyDescent="0.3">
      <c r="A190" s="2" t="s">
        <v>44</v>
      </c>
      <c r="B190" s="2">
        <f>B189*(31-$AN162)</f>
        <v>120450</v>
      </c>
      <c r="C190" s="2">
        <f t="shared" ref="C190:D190" si="179">C189*(31-$AN162)</f>
        <v>98400</v>
      </c>
      <c r="D190" s="2">
        <f t="shared" si="179"/>
        <v>218850</v>
      </c>
      <c r="E190" s="328">
        <f>B190+AF190</f>
        <v>149358</v>
      </c>
      <c r="H190" s="124">
        <f>'Hoover with 30 MW Solar'!F44</f>
        <v>249.9236526451613</v>
      </c>
      <c r="I190" s="479" t="s">
        <v>470</v>
      </c>
      <c r="J190" s="2"/>
      <c r="K190" s="2"/>
      <c r="L190" s="2"/>
      <c r="M190" s="2"/>
      <c r="Q190" s="300" t="s">
        <v>379</v>
      </c>
      <c r="V190" s="2">
        <f>V189*31</f>
        <v>111662</v>
      </c>
      <c r="W190" s="35" t="s">
        <v>153</v>
      </c>
      <c r="X190" s="87">
        <f>-SUMIF(X165:X188,"&lt;0")</f>
        <v>120</v>
      </c>
      <c r="Y190" s="92">
        <f>X190*(31-AN162)</f>
        <v>3000</v>
      </c>
      <c r="Z190" s="92" t="s">
        <v>217</v>
      </c>
      <c r="AE190" s="2" t="s">
        <v>44</v>
      </c>
      <c r="AF190" s="2">
        <f>AF189*$AN162</f>
        <v>28908</v>
      </c>
      <c r="AG190" s="2">
        <f t="shared" ref="AG190:AH190" si="180">AG189*$AN162</f>
        <v>23616</v>
      </c>
      <c r="AH190" s="2">
        <f t="shared" si="180"/>
        <v>52524</v>
      </c>
      <c r="AI190" s="92"/>
      <c r="AJ190" s="92"/>
      <c r="AK190" s="92"/>
      <c r="AL190" s="124">
        <f>H190</f>
        <v>249.9236526451613</v>
      </c>
      <c r="AM190" s="2"/>
      <c r="AN190" s="2"/>
      <c r="AO190" s="2"/>
      <c r="AP190" s="2"/>
      <c r="AQ190" s="92"/>
      <c r="AR190" s="92"/>
      <c r="AS190" s="92"/>
      <c r="AT190" s="92"/>
      <c r="AU190" s="300"/>
      <c r="AV190" s="92"/>
      <c r="AW190" s="92"/>
      <c r="AX190" s="92"/>
      <c r="AY190" s="92"/>
      <c r="AZ190" s="2"/>
      <c r="BA190" s="35" t="s">
        <v>216</v>
      </c>
      <c r="BB190" s="87">
        <f>-SUMIF(BB165:BB188,"&lt;0")</f>
        <v>226</v>
      </c>
      <c r="BC190" s="92">
        <f>BB190*AN162</f>
        <v>1356</v>
      </c>
      <c r="BD190" s="92" t="s">
        <v>217</v>
      </c>
      <c r="BE190" s="92"/>
      <c r="BF190" s="92"/>
      <c r="BG190" s="92"/>
    </row>
    <row r="191" spans="1:59" x14ac:dyDescent="0.3">
      <c r="A191" s="2" t="s">
        <v>45</v>
      </c>
      <c r="B191" s="20">
        <f>ROUND(B189/48.35,0)</f>
        <v>100</v>
      </c>
      <c r="C191" s="294">
        <f>((B191*(31-AN162)+AF191*AN162)/31)</f>
        <v>100</v>
      </c>
      <c r="D191" s="294">
        <f>C191-Load!H35</f>
        <v>0.30026775468570577</v>
      </c>
      <c r="F191" s="21">
        <v>24.99</v>
      </c>
      <c r="G191" s="62">
        <f>D489</f>
        <v>41.589675</v>
      </c>
      <c r="H191" s="98">
        <f>$F$479</f>
        <v>43.87</v>
      </c>
      <c r="I191" s="21">
        <v>25.15</v>
      </c>
      <c r="J191" s="21">
        <v>21.61</v>
      </c>
      <c r="K191" s="21"/>
      <c r="L191" s="21"/>
      <c r="M191" s="21"/>
      <c r="N191" s="21"/>
      <c r="O191" s="313"/>
      <c r="P191" s="313"/>
      <c r="Q191" s="313"/>
      <c r="R191" s="313"/>
      <c r="S191" s="313"/>
      <c r="T191" s="313"/>
      <c r="U191" s="313"/>
      <c r="X191" s="11">
        <f>SUM(X187:X188,X165:X170)</f>
        <v>2160</v>
      </c>
      <c r="Y191" s="92">
        <f>Y190+BC190</f>
        <v>4356</v>
      </c>
      <c r="Z191" s="92" t="s">
        <v>236</v>
      </c>
      <c r="AA191" s="92"/>
      <c r="AE191" s="2" t="s">
        <v>45</v>
      </c>
      <c r="AF191" s="20">
        <f>ROUND(AF189/48.35,0)</f>
        <v>100</v>
      </c>
      <c r="AG191" s="92"/>
      <c r="AH191" s="92"/>
      <c r="AI191" s="92"/>
      <c r="AJ191" s="21"/>
      <c r="AK191" s="21"/>
      <c r="AL191" s="21"/>
      <c r="AM191" s="21">
        <v>25.15</v>
      </c>
      <c r="AN191" s="21">
        <v>21.61</v>
      </c>
      <c r="AO191" s="21"/>
      <c r="AP191" s="21"/>
      <c r="AQ191" s="21"/>
      <c r="AR191" s="313"/>
      <c r="AS191" s="313"/>
      <c r="AT191" s="313"/>
      <c r="AU191" s="313"/>
      <c r="AV191" s="313"/>
      <c r="AW191" s="313"/>
      <c r="AX191" s="313"/>
      <c r="AY191" s="313"/>
      <c r="AZ191" s="92"/>
      <c r="BA191" s="92"/>
      <c r="BB191" s="11">
        <f>SUM(BB187:BB188,BB165:BB170)</f>
        <v>2160</v>
      </c>
      <c r="BC191" s="92"/>
      <c r="BD191" s="92"/>
      <c r="BE191" s="92"/>
      <c r="BF191" s="92"/>
      <c r="BG191" s="92"/>
    </row>
    <row r="192" spans="1:59" x14ac:dyDescent="0.3">
      <c r="A192" s="2" t="s">
        <v>62</v>
      </c>
      <c r="B192" s="2">
        <f>SUM(B171:B186)</f>
        <v>2890</v>
      </c>
      <c r="C192" s="2">
        <f>SUM(C171:C186)</f>
        <v>2624</v>
      </c>
      <c r="F192" s="99">
        <f>'Hoover with 30 MW Solar'!F30</f>
        <v>10217.633232</v>
      </c>
      <c r="G192" s="2">
        <f t="shared" ref="G192" si="181">G189*31</f>
        <v>26040</v>
      </c>
      <c r="H192" s="99">
        <f>'Hoover with 30 MW Solar'!F31</f>
        <v>13402</v>
      </c>
      <c r="I192" s="2">
        <f>I189*(31-$AN162)</f>
        <v>30000</v>
      </c>
      <c r="J192" s="2">
        <f t="shared" ref="J192:U192" si="182">J189*(31-$AN162)</f>
        <v>20000</v>
      </c>
      <c r="K192" s="2">
        <f t="shared" si="182"/>
        <v>0</v>
      </c>
      <c r="L192" s="2">
        <f t="shared" si="182"/>
        <v>0</v>
      </c>
      <c r="M192" s="2">
        <f t="shared" si="182"/>
        <v>0</v>
      </c>
      <c r="N192" s="2">
        <f t="shared" si="182"/>
        <v>0</v>
      </c>
      <c r="O192" s="2">
        <f t="shared" si="182"/>
        <v>0</v>
      </c>
      <c r="P192" s="2">
        <f t="shared" si="182"/>
        <v>0</v>
      </c>
      <c r="Q192" s="2">
        <f t="shared" si="182"/>
        <v>0</v>
      </c>
      <c r="R192" s="2">
        <f t="shared" si="182"/>
        <v>0</v>
      </c>
      <c r="S192" s="2">
        <f t="shared" si="182"/>
        <v>0</v>
      </c>
      <c r="T192" s="2">
        <f t="shared" si="182"/>
        <v>0</v>
      </c>
      <c r="U192" s="2">
        <f t="shared" si="182"/>
        <v>0</v>
      </c>
      <c r="X192" s="13">
        <f>SUM(X171:X186)</f>
        <v>2992</v>
      </c>
      <c r="AE192" s="2" t="s">
        <v>62</v>
      </c>
      <c r="AF192" s="2">
        <f>SUM(AF171:AF186)</f>
        <v>2890</v>
      </c>
      <c r="AG192" s="2">
        <f>SUM(AG171:AG186)</f>
        <v>2624</v>
      </c>
      <c r="AH192" s="92"/>
      <c r="AI192" s="92"/>
      <c r="AJ192" s="22"/>
      <c r="AK192" s="22"/>
      <c r="AL192" s="22"/>
      <c r="AM192" s="22">
        <f>AM189*$AN162</f>
        <v>0</v>
      </c>
      <c r="AN192" s="22">
        <f t="shared" ref="AN192:AY192" si="183">AN189*$AN162</f>
        <v>14400</v>
      </c>
      <c r="AO192" s="22">
        <f t="shared" si="183"/>
        <v>0</v>
      </c>
      <c r="AP192" s="22">
        <f t="shared" si="183"/>
        <v>0</v>
      </c>
      <c r="AQ192" s="22">
        <f t="shared" si="183"/>
        <v>0</v>
      </c>
      <c r="AR192" s="22">
        <f t="shared" si="183"/>
        <v>0</v>
      </c>
      <c r="AS192" s="22">
        <f t="shared" si="183"/>
        <v>0</v>
      </c>
      <c r="AT192" s="22">
        <f t="shared" si="183"/>
        <v>0</v>
      </c>
      <c r="AU192" s="22">
        <f t="shared" si="183"/>
        <v>0</v>
      </c>
      <c r="AV192" s="22">
        <f t="shared" si="183"/>
        <v>0</v>
      </c>
      <c r="AW192" s="22">
        <f t="shared" si="183"/>
        <v>0</v>
      </c>
      <c r="AX192" s="22">
        <f t="shared" si="183"/>
        <v>0</v>
      </c>
      <c r="AY192" s="22">
        <f t="shared" si="183"/>
        <v>0</v>
      </c>
      <c r="AZ192" s="92"/>
      <c r="BA192" s="92"/>
      <c r="BB192" s="13">
        <f>SUM(BB171:BB186)</f>
        <v>2592</v>
      </c>
      <c r="BC192" s="92"/>
      <c r="BD192" s="92"/>
      <c r="BE192" s="92"/>
      <c r="BF192" s="92"/>
      <c r="BG192" s="92"/>
    </row>
    <row r="193" spans="1:59" x14ac:dyDescent="0.3">
      <c r="A193" s="2" t="s">
        <v>63</v>
      </c>
      <c r="B193" s="2">
        <f>SUM(B187:B188,B165:B170)</f>
        <v>1928</v>
      </c>
      <c r="C193" s="2">
        <f>SUM(C187:C188,C165:C170)</f>
        <v>1312</v>
      </c>
      <c r="D193" s="24"/>
      <c r="E193" s="24"/>
      <c r="F193" s="25">
        <f t="shared" ref="F193:H193" si="184">F192*F191</f>
        <v>255338.65446768</v>
      </c>
      <c r="G193" s="25">
        <f t="shared" si="184"/>
        <v>1082995.1370000001</v>
      </c>
      <c r="H193" s="25">
        <f t="shared" si="184"/>
        <v>587945.74</v>
      </c>
      <c r="I193" s="25">
        <f>I192*I191</f>
        <v>754500</v>
      </c>
      <c r="J193" s="25">
        <f t="shared" ref="J193:U193" si="185">J192*J191</f>
        <v>432200</v>
      </c>
      <c r="K193" s="25">
        <f t="shared" si="185"/>
        <v>0</v>
      </c>
      <c r="L193" s="25">
        <f t="shared" si="185"/>
        <v>0</v>
      </c>
      <c r="M193" s="25">
        <f t="shared" si="185"/>
        <v>0</v>
      </c>
      <c r="N193" s="25">
        <f t="shared" si="185"/>
        <v>0</v>
      </c>
      <c r="O193" s="25">
        <f t="shared" si="185"/>
        <v>0</v>
      </c>
      <c r="P193" s="25">
        <f t="shared" si="185"/>
        <v>0</v>
      </c>
      <c r="Q193" s="25">
        <f t="shared" si="185"/>
        <v>0</v>
      </c>
      <c r="R193" s="25">
        <f t="shared" si="185"/>
        <v>0</v>
      </c>
      <c r="S193" s="25">
        <f t="shared" si="185"/>
        <v>0</v>
      </c>
      <c r="T193" s="25">
        <f t="shared" si="185"/>
        <v>0</v>
      </c>
      <c r="U193" s="25">
        <f t="shared" si="185"/>
        <v>0</v>
      </c>
      <c r="V193" s="24"/>
      <c r="W193" s="24"/>
      <c r="X193" s="24"/>
      <c r="Y193" s="24"/>
      <c r="Z193" s="24"/>
      <c r="AA193" s="24"/>
      <c r="AB193" s="24"/>
      <c r="AC193" s="24"/>
      <c r="AE193" s="2" t="s">
        <v>63</v>
      </c>
      <c r="AF193" s="2">
        <f>SUM(AF187:AF188,AF165:AF170)</f>
        <v>1928</v>
      </c>
      <c r="AG193" s="2">
        <f>SUM(AG187:AG188,AG165:AG170)</f>
        <v>1312</v>
      </c>
      <c r="AH193" s="24"/>
      <c r="AI193" s="24"/>
      <c r="AJ193" s="25"/>
      <c r="AK193" s="25"/>
      <c r="AL193" s="25"/>
      <c r="AM193" s="25">
        <f>AM192*AM191</f>
        <v>0</v>
      </c>
      <c r="AN193" s="25">
        <f t="shared" ref="AN193:AY193" si="186">AN192*AN191</f>
        <v>311184</v>
      </c>
      <c r="AO193" s="25">
        <f t="shared" si="186"/>
        <v>0</v>
      </c>
      <c r="AP193" s="25">
        <f t="shared" si="186"/>
        <v>0</v>
      </c>
      <c r="AQ193" s="25">
        <f t="shared" si="186"/>
        <v>0</v>
      </c>
      <c r="AR193" s="25">
        <f t="shared" si="186"/>
        <v>0</v>
      </c>
      <c r="AS193" s="25">
        <f t="shared" si="186"/>
        <v>0</v>
      </c>
      <c r="AT193" s="25">
        <f t="shared" si="186"/>
        <v>0</v>
      </c>
      <c r="AU193" s="25">
        <f t="shared" si="186"/>
        <v>0</v>
      </c>
      <c r="AV193" s="25">
        <f t="shared" si="186"/>
        <v>0</v>
      </c>
      <c r="AW193" s="25">
        <f t="shared" si="186"/>
        <v>0</v>
      </c>
      <c r="AX193" s="25">
        <f t="shared" si="186"/>
        <v>0</v>
      </c>
      <c r="AY193" s="25">
        <f t="shared" si="186"/>
        <v>0</v>
      </c>
      <c r="AZ193" s="24"/>
      <c r="BA193" s="24"/>
      <c r="BB193" s="24"/>
      <c r="BC193" s="24"/>
      <c r="BD193" s="24"/>
      <c r="BE193" s="24"/>
      <c r="BF193" s="24"/>
      <c r="BG193" s="24"/>
    </row>
    <row r="194" spans="1:59" x14ac:dyDescent="0.3">
      <c r="A194" s="23"/>
      <c r="B194" s="23"/>
      <c r="C194" s="35" t="s">
        <v>221</v>
      </c>
      <c r="D194" s="117">
        <f>D190+AH190</f>
        <v>271374</v>
      </c>
      <c r="E194" s="23"/>
      <c r="F194" s="23"/>
      <c r="G194" s="23"/>
      <c r="H194" s="23"/>
      <c r="I194" s="116" t="s">
        <v>222</v>
      </c>
      <c r="J194" s="25">
        <f>SUM(F193:T193)+SUM(AM193:AX193)</f>
        <v>3424163.5314676799</v>
      </c>
      <c r="K194" s="23"/>
      <c r="L194" s="92"/>
      <c r="M194" s="92"/>
      <c r="W194" s="23"/>
      <c r="X194" s="11">
        <f>X191*(31-AN162)</f>
        <v>54000</v>
      </c>
      <c r="Y194" s="23"/>
      <c r="Z194" s="23"/>
      <c r="AA194" s="23"/>
      <c r="AB194" s="23"/>
      <c r="AC194" s="23"/>
      <c r="AE194" s="23"/>
      <c r="AF194" s="23"/>
      <c r="AG194" s="23"/>
      <c r="AH194" s="23"/>
      <c r="AI194" s="23"/>
      <c r="AJ194" s="23"/>
      <c r="AK194" s="23"/>
      <c r="AL194" s="23"/>
      <c r="AM194" s="23"/>
      <c r="AN194" s="25"/>
      <c r="AO194" s="23"/>
      <c r="AP194" s="92"/>
      <c r="AQ194" s="92"/>
      <c r="AR194" s="92"/>
      <c r="AS194" s="92"/>
      <c r="AT194" s="92"/>
      <c r="AU194" s="92"/>
      <c r="AV194" s="92"/>
      <c r="AW194" s="92"/>
      <c r="AX194" s="92"/>
      <c r="AY194" s="92"/>
      <c r="AZ194" s="92"/>
      <c r="BA194" s="23"/>
      <c r="BB194" s="11">
        <f>BB191*AN162</f>
        <v>12960</v>
      </c>
      <c r="BC194" s="23"/>
      <c r="BD194" s="23"/>
      <c r="BE194" s="23"/>
      <c r="BF194" s="23"/>
      <c r="BG194" s="23"/>
    </row>
    <row r="195" spans="1:59" x14ac:dyDescent="0.3">
      <c r="C195" s="35" t="s">
        <v>131</v>
      </c>
      <c r="D195" s="36">
        <f>D190+AH190-Load!S12</f>
        <v>322.33875516284024</v>
      </c>
      <c r="I195" s="23" t="s">
        <v>184</v>
      </c>
      <c r="J195" s="22">
        <f>SUM(F192:T192)+SUM(AM192:AX192)</f>
        <v>114059.63323199999</v>
      </c>
      <c r="K195" s="39">
        <f>J195/D194</f>
        <v>0.42030420464746066</v>
      </c>
      <c r="L195" s="92" t="s">
        <v>223</v>
      </c>
      <c r="M195" s="92"/>
      <c r="X195" s="13">
        <f>X192*(31-AN162)</f>
        <v>74800</v>
      </c>
      <c r="AE195" s="92"/>
      <c r="AF195" s="92"/>
      <c r="AG195" s="35"/>
      <c r="AH195" s="36"/>
      <c r="AI195" s="92"/>
      <c r="AJ195" s="92"/>
      <c r="AK195" s="92"/>
      <c r="AL195" s="92"/>
      <c r="AM195" s="23"/>
      <c r="AN195" s="22"/>
      <c r="AO195" s="39"/>
      <c r="AP195" s="92"/>
      <c r="AQ195" s="92"/>
      <c r="AR195" s="92"/>
      <c r="AS195" s="92"/>
      <c r="AT195" s="92"/>
      <c r="AU195" s="92"/>
      <c r="AV195" s="92"/>
      <c r="AW195" s="92"/>
      <c r="AX195" s="92"/>
      <c r="AY195" s="92"/>
      <c r="AZ195" s="92"/>
      <c r="BA195" s="92"/>
      <c r="BB195" s="13">
        <f>BB192*AN162</f>
        <v>15552</v>
      </c>
      <c r="BC195" s="92"/>
      <c r="BD195" s="92"/>
      <c r="BE195" s="92"/>
      <c r="BF195" s="92"/>
      <c r="BG195" s="92"/>
    </row>
    <row r="196" spans="1:59" ht="15" thickBot="1" x14ac:dyDescent="0.35">
      <c r="A196" s="313"/>
      <c r="B196" s="313"/>
      <c r="C196" s="35" t="s">
        <v>383</v>
      </c>
      <c r="D196" s="49">
        <f>C191*31*50.6</f>
        <v>156860</v>
      </c>
      <c r="I196" s="23" t="s">
        <v>47</v>
      </c>
      <c r="J196" s="21">
        <f>J194/J195</f>
        <v>30.020818360013926</v>
      </c>
      <c r="L196" s="92"/>
      <c r="M196" s="92" t="s">
        <v>100</v>
      </c>
      <c r="X196" s="37">
        <f>SUM(X194:X195)+Y190+BB196</f>
        <v>161668</v>
      </c>
      <c r="Y196" s="92" t="s">
        <v>159</v>
      </c>
      <c r="AE196" s="23"/>
      <c r="AF196" s="92"/>
      <c r="AG196" s="92"/>
      <c r="AH196" s="92"/>
      <c r="AI196" s="92"/>
      <c r="AJ196" s="92"/>
      <c r="AK196" s="92"/>
      <c r="AL196" s="92"/>
      <c r="AM196" s="23"/>
      <c r="AN196" s="21"/>
      <c r="AO196" s="92"/>
      <c r="AP196" s="92"/>
      <c r="AQ196" s="92"/>
      <c r="AR196" s="92"/>
      <c r="AS196" s="92"/>
      <c r="AT196" s="92"/>
      <c r="AU196" s="92"/>
      <c r="AV196" s="92"/>
      <c r="AW196" s="92"/>
      <c r="AX196" s="92"/>
      <c r="AY196" s="92"/>
      <c r="AZ196" s="92"/>
      <c r="BA196" s="92"/>
      <c r="BB196" s="37">
        <f>SUM(BB194:BB195)+BC190</f>
        <v>29868</v>
      </c>
      <c r="BC196" s="92" t="s">
        <v>218</v>
      </c>
      <c r="BD196" s="92"/>
      <c r="BE196" s="92"/>
      <c r="BF196" s="92"/>
      <c r="BG196" s="92"/>
    </row>
    <row r="197" spans="1:59" x14ac:dyDescent="0.3">
      <c r="A197" s="313"/>
      <c r="B197" s="313"/>
      <c r="C197" s="35" t="s">
        <v>384</v>
      </c>
      <c r="D197" s="36">
        <f>D196-Load!H33</f>
        <v>471</v>
      </c>
      <c r="I197" s="67" t="s">
        <v>183</v>
      </c>
      <c r="J197" s="68">
        <f>SUM(I192:T192)+SUM(AM192:AX192)</f>
        <v>64400</v>
      </c>
      <c r="L197" s="92" t="s">
        <v>233</v>
      </c>
      <c r="M197" s="31">
        <f>SUM(I192:M192)+SUM(AM192:AR192)</f>
        <v>64400</v>
      </c>
      <c r="X197" s="93">
        <f>(SUM(X194:X195)+Y190)*Y197+BB198</f>
        <v>5658380</v>
      </c>
      <c r="Y197" s="93">
        <v>35</v>
      </c>
      <c r="Z197" t="s">
        <v>160</v>
      </c>
      <c r="AE197" s="23"/>
      <c r="AF197" s="92"/>
      <c r="AG197" s="92"/>
      <c r="AH197" s="92"/>
      <c r="AI197" s="92"/>
      <c r="AJ197" s="92"/>
      <c r="AK197" s="92"/>
      <c r="AL197" s="92"/>
      <c r="AM197" s="92"/>
      <c r="AN197" s="92"/>
      <c r="AO197" s="92"/>
      <c r="AP197" s="92"/>
      <c r="AQ197" s="92"/>
      <c r="AR197" s="92"/>
      <c r="AS197" s="92"/>
      <c r="AT197" s="92"/>
      <c r="AU197" s="92"/>
      <c r="AV197" s="92"/>
      <c r="AW197" s="92"/>
      <c r="AX197" s="92"/>
      <c r="AY197" s="92"/>
      <c r="AZ197" s="92"/>
      <c r="BA197" s="92"/>
      <c r="BB197" s="93">
        <f>BB196*BC197</f>
        <v>1045380</v>
      </c>
      <c r="BC197" s="93">
        <f>Y197</f>
        <v>35</v>
      </c>
      <c r="BD197" s="92" t="s">
        <v>160</v>
      </c>
      <c r="BE197" s="92"/>
      <c r="BF197" s="92"/>
      <c r="BG197" s="92"/>
    </row>
    <row r="198" spans="1:59" x14ac:dyDescent="0.3">
      <c r="I198" s="69" t="s">
        <v>18</v>
      </c>
      <c r="J198" s="70">
        <f>SUM(I193:T193)+SUM(AM193:AX193)</f>
        <v>1497884</v>
      </c>
      <c r="L198" s="92" t="s">
        <v>235</v>
      </c>
      <c r="M198" s="31">
        <f>SUM(O192:U192)+SUM(AS192:AY192)</f>
        <v>0</v>
      </c>
      <c r="X198" s="79">
        <f>X197+J198</f>
        <v>7156264</v>
      </c>
      <c r="Y198" t="s">
        <v>161</v>
      </c>
      <c r="AE198" s="23"/>
      <c r="AF198" s="92"/>
      <c r="AG198" s="92"/>
      <c r="AH198" s="92"/>
      <c r="AI198" s="92"/>
      <c r="AJ198" s="92"/>
      <c r="AK198" s="92"/>
      <c r="AL198" s="92"/>
      <c r="AM198" s="92"/>
      <c r="AN198" s="92"/>
      <c r="AO198" s="92"/>
      <c r="AP198" s="92"/>
      <c r="AQ198" s="92"/>
      <c r="AR198" s="92"/>
      <c r="AS198" s="92"/>
      <c r="AT198" s="92"/>
      <c r="AU198" s="92"/>
      <c r="AV198" s="92"/>
      <c r="AW198" s="92"/>
      <c r="AX198" s="92"/>
      <c r="AY198" s="92"/>
      <c r="AZ198" s="92"/>
      <c r="BA198" s="92"/>
      <c r="BB198" s="79">
        <f>BB197</f>
        <v>1045380</v>
      </c>
      <c r="BC198" s="92" t="s">
        <v>219</v>
      </c>
      <c r="BD198" s="92"/>
      <c r="BE198" s="92"/>
      <c r="BF198" s="92"/>
      <c r="BG198" s="92"/>
    </row>
    <row r="199" spans="1:59" ht="15" thickBot="1" x14ac:dyDescent="0.35">
      <c r="I199" s="71" t="s">
        <v>156</v>
      </c>
      <c r="J199" s="72">
        <f>J198/J197</f>
        <v>23.259068322981367</v>
      </c>
      <c r="W199" s="38" t="s">
        <v>193</v>
      </c>
      <c r="X199" s="80">
        <f>J197+X196</f>
        <v>226068</v>
      </c>
      <c r="Y199" s="79">
        <f>X198/X199</f>
        <v>31.655360334058777</v>
      </c>
    </row>
    <row r="202" spans="1:59" x14ac:dyDescent="0.3">
      <c r="AE202" s="92"/>
      <c r="AF202" s="92"/>
      <c r="AG202" s="92"/>
      <c r="AH202" s="92"/>
      <c r="AI202" s="92"/>
      <c r="AJ202" s="92"/>
      <c r="AK202" s="92"/>
      <c r="AL202" s="92"/>
      <c r="AM202" s="92"/>
      <c r="AN202" s="115" t="s">
        <v>215</v>
      </c>
      <c r="AO202" s="92"/>
      <c r="AP202" s="92"/>
      <c r="AQ202" s="92"/>
      <c r="AR202" s="92"/>
      <c r="AS202" s="92"/>
      <c r="AT202" s="92"/>
      <c r="AU202" s="92"/>
      <c r="AV202" s="92"/>
      <c r="AW202" s="92"/>
      <c r="AX202" s="92"/>
      <c r="AY202" s="92"/>
      <c r="AZ202" s="92"/>
      <c r="BA202" s="92"/>
      <c r="BB202" s="92"/>
      <c r="BC202" s="92"/>
      <c r="BD202" s="92"/>
      <c r="BE202" s="92"/>
      <c r="BF202" s="92"/>
      <c r="BG202" s="92"/>
    </row>
    <row r="203" spans="1:59" ht="15" thickBot="1" x14ac:dyDescent="0.35">
      <c r="A203" s="2" t="s">
        <v>55</v>
      </c>
      <c r="F203" s="87"/>
      <c r="U203" s="37" t="s">
        <v>237</v>
      </c>
      <c r="X203" s="91" t="s">
        <v>0</v>
      </c>
      <c r="Z203" s="481" t="s">
        <v>1</v>
      </c>
      <c r="AA203" s="483"/>
      <c r="AB203" s="482"/>
      <c r="AC203" s="1" t="s">
        <v>75</v>
      </c>
      <c r="AE203" s="2" t="s">
        <v>55</v>
      </c>
      <c r="AF203" s="92"/>
      <c r="AG203" s="92"/>
      <c r="AH203" s="92"/>
      <c r="AI203" s="92"/>
      <c r="AJ203" s="92"/>
      <c r="AK203" s="92"/>
      <c r="AL203" s="92"/>
      <c r="AM203" s="37" t="s">
        <v>214</v>
      </c>
      <c r="AN203" s="322">
        <v>4</v>
      </c>
      <c r="AO203" s="313"/>
      <c r="AP203" s="313"/>
      <c r="AQ203" s="313"/>
      <c r="AR203" s="313"/>
      <c r="AS203" s="313"/>
      <c r="AT203" s="313"/>
      <c r="AU203" s="313"/>
      <c r="AV203" s="313"/>
      <c r="AW203" s="313"/>
      <c r="AX203" s="313"/>
      <c r="AY203" s="37" t="s">
        <v>237</v>
      </c>
      <c r="AZ203" s="92"/>
      <c r="BA203" s="92"/>
      <c r="BB203" s="114" t="s">
        <v>0</v>
      </c>
      <c r="BC203" s="92"/>
      <c r="BD203" s="481" t="s">
        <v>1</v>
      </c>
      <c r="BE203" s="483"/>
      <c r="BF203" s="482"/>
      <c r="BG203" s="1" t="s">
        <v>75</v>
      </c>
    </row>
    <row r="204" spans="1:59" x14ac:dyDescent="0.3">
      <c r="F204" s="87" t="s">
        <v>415</v>
      </c>
      <c r="I204" s="73" t="s">
        <v>50</v>
      </c>
      <c r="J204" s="74" t="s">
        <v>224</v>
      </c>
      <c r="K204" s="74"/>
      <c r="L204" s="104"/>
      <c r="M204" s="104"/>
      <c r="N204" s="104"/>
      <c r="O204" s="104"/>
      <c r="P204" s="104"/>
      <c r="Q204" s="104"/>
      <c r="R204" s="104"/>
      <c r="S204" s="104" t="s">
        <v>460</v>
      </c>
      <c r="T204" s="104"/>
      <c r="U204" s="105" t="s">
        <v>50</v>
      </c>
      <c r="X204" s="3" t="s">
        <v>4</v>
      </c>
      <c r="Z204" s="3" t="s">
        <v>4</v>
      </c>
      <c r="AA204" s="4" t="s">
        <v>4</v>
      </c>
      <c r="AB204" s="5" t="s">
        <v>4</v>
      </c>
      <c r="AC204" s="5" t="s">
        <v>6</v>
      </c>
      <c r="AE204" s="92"/>
      <c r="AF204" s="92"/>
      <c r="AG204" s="92"/>
      <c r="AH204" s="92"/>
      <c r="AI204" s="92"/>
      <c r="AJ204" s="92"/>
      <c r="AK204" s="92"/>
      <c r="AL204" s="92"/>
      <c r="AM204" s="73" t="s">
        <v>50</v>
      </c>
      <c r="AN204" s="74" t="s">
        <v>224</v>
      </c>
      <c r="AO204" s="74"/>
      <c r="AP204" s="104"/>
      <c r="AQ204" s="104"/>
      <c r="AR204" s="104"/>
      <c r="AS204" s="104"/>
      <c r="AT204" s="104"/>
      <c r="AU204" s="104"/>
      <c r="AV204" s="104"/>
      <c r="AW204" s="104"/>
      <c r="AX204" s="104"/>
      <c r="AY204" s="105" t="s">
        <v>50</v>
      </c>
      <c r="AZ204" s="92"/>
      <c r="BA204" s="92"/>
      <c r="BB204" s="3" t="s">
        <v>4</v>
      </c>
      <c r="BC204" s="92"/>
      <c r="BD204" s="3" t="s">
        <v>4</v>
      </c>
      <c r="BE204" s="4" t="s">
        <v>4</v>
      </c>
      <c r="BF204" s="5" t="s">
        <v>4</v>
      </c>
      <c r="BG204" s="5" t="s">
        <v>6</v>
      </c>
    </row>
    <row r="205" spans="1:59" ht="15" thickBot="1" x14ac:dyDescent="0.35">
      <c r="A205" s="2" t="s">
        <v>7</v>
      </c>
      <c r="B205" s="2" t="s">
        <v>8</v>
      </c>
      <c r="C205" s="2" t="s">
        <v>9</v>
      </c>
      <c r="D205" s="2" t="s">
        <v>10</v>
      </c>
      <c r="E205" s="2" t="s">
        <v>7</v>
      </c>
      <c r="F205" s="2" t="s">
        <v>11</v>
      </c>
      <c r="G205" s="2" t="s">
        <v>12</v>
      </c>
      <c r="H205" s="2" t="s">
        <v>13</v>
      </c>
      <c r="I205" s="75" t="s">
        <v>15</v>
      </c>
      <c r="J205" s="76" t="s">
        <v>15</v>
      </c>
      <c r="K205" s="76"/>
      <c r="L205" s="106"/>
      <c r="M205" s="106"/>
      <c r="N205" s="106"/>
      <c r="O205" s="106"/>
      <c r="P205" s="106"/>
      <c r="Q205" s="106"/>
      <c r="R205" s="106"/>
      <c r="S205" s="106" t="s">
        <v>461</v>
      </c>
      <c r="T205" s="106"/>
      <c r="U205" s="107" t="s">
        <v>15</v>
      </c>
      <c r="V205" s="2" t="s">
        <v>16</v>
      </c>
      <c r="X205" s="6" t="s">
        <v>17</v>
      </c>
      <c r="Z205" s="6" t="s">
        <v>5</v>
      </c>
      <c r="AA205" s="7" t="s">
        <v>15</v>
      </c>
      <c r="AB205" s="8" t="s">
        <v>18</v>
      </c>
      <c r="AC205" s="8" t="s">
        <v>0</v>
      </c>
      <c r="AE205" s="2" t="s">
        <v>7</v>
      </c>
      <c r="AF205" s="2" t="s">
        <v>8</v>
      </c>
      <c r="AG205" s="2" t="s">
        <v>9</v>
      </c>
      <c r="AH205" s="2" t="s">
        <v>10</v>
      </c>
      <c r="AI205" s="2" t="s">
        <v>7</v>
      </c>
      <c r="AJ205" s="2" t="s">
        <v>11</v>
      </c>
      <c r="AK205" s="2" t="s">
        <v>12</v>
      </c>
      <c r="AL205" s="2" t="s">
        <v>13</v>
      </c>
      <c r="AM205" s="75" t="s">
        <v>15</v>
      </c>
      <c r="AN205" s="76" t="s">
        <v>15</v>
      </c>
      <c r="AO205" s="76"/>
      <c r="AP205" s="106"/>
      <c r="AQ205" s="106"/>
      <c r="AR205" s="106"/>
      <c r="AS205" s="106"/>
      <c r="AT205" s="106"/>
      <c r="AU205" s="106"/>
      <c r="AV205" s="106"/>
      <c r="AW205" s="106"/>
      <c r="AX205" s="106"/>
      <c r="AY205" s="107" t="s">
        <v>15</v>
      </c>
      <c r="AZ205" s="2" t="s">
        <v>16</v>
      </c>
      <c r="BA205" s="92"/>
      <c r="BB205" s="6" t="s">
        <v>17</v>
      </c>
      <c r="BC205" s="92"/>
      <c r="BD205" s="6" t="s">
        <v>5</v>
      </c>
      <c r="BE205" s="7" t="s">
        <v>15</v>
      </c>
      <c r="BF205" s="8" t="s">
        <v>18</v>
      </c>
      <c r="BG205" s="8" t="s">
        <v>0</v>
      </c>
    </row>
    <row r="206" spans="1:59" x14ac:dyDescent="0.3">
      <c r="A206" s="9" t="s">
        <v>19</v>
      </c>
      <c r="B206" s="2">
        <v>146</v>
      </c>
      <c r="C206" s="99">
        <f>ROUND(Load!$I$43+'2022'!$E$231*0.485/720,0)</f>
        <v>86</v>
      </c>
      <c r="D206" s="2">
        <f t="shared" ref="D206:D229" si="187">SUM(B206:C206)</f>
        <v>232</v>
      </c>
      <c r="E206" s="9" t="s">
        <v>19</v>
      </c>
      <c r="F206" s="2"/>
      <c r="G206" s="2">
        <v>35</v>
      </c>
      <c r="H206" s="2"/>
      <c r="I206" s="73"/>
      <c r="J206" s="74">
        <v>100</v>
      </c>
      <c r="K206" s="74"/>
      <c r="L206" s="104"/>
      <c r="M206" s="104"/>
      <c r="N206" s="104"/>
      <c r="O206" s="104"/>
      <c r="P206" s="104"/>
      <c r="Q206" s="104"/>
      <c r="R206" s="104"/>
      <c r="S206" s="104"/>
      <c r="T206" s="104"/>
      <c r="U206" s="105"/>
      <c r="V206" s="2">
        <f t="shared" ref="V206:V229" si="188">SUM(F206:U206)</f>
        <v>135</v>
      </c>
      <c r="W206" s="10"/>
      <c r="X206" s="11">
        <f t="shared" ref="X206:X229" si="189">D206-V206</f>
        <v>97</v>
      </c>
      <c r="Y206" s="10"/>
      <c r="Z206" s="12">
        <f>142-F206-H206-M206</f>
        <v>142</v>
      </c>
      <c r="AA206" s="12">
        <f>217-I206-J206</f>
        <v>117</v>
      </c>
      <c r="AB206" s="2">
        <f>Z206+AA206</f>
        <v>259</v>
      </c>
      <c r="AC206" s="2">
        <f t="shared" ref="AC206:AC229" si="190">Z206+AA206-X206</f>
        <v>162</v>
      </c>
      <c r="AE206" s="9" t="s">
        <v>19</v>
      </c>
      <c r="AF206" s="2">
        <v>146</v>
      </c>
      <c r="AG206" s="99">
        <f>ROUND(Load!$I$43+'2022'!$E$231*0.485/720,0)</f>
        <v>86</v>
      </c>
      <c r="AH206" s="2">
        <f t="shared" ref="AH206:AH229" si="191">SUM(AF206:AG206)</f>
        <v>232</v>
      </c>
      <c r="AI206" s="9" t="s">
        <v>19</v>
      </c>
      <c r="AJ206" s="2"/>
      <c r="AK206" s="2">
        <v>35</v>
      </c>
      <c r="AL206" s="2"/>
      <c r="AM206" s="73"/>
      <c r="AN206" s="74">
        <v>100</v>
      </c>
      <c r="AO206" s="74"/>
      <c r="AP206" s="104"/>
      <c r="AQ206" s="104"/>
      <c r="AR206" s="104"/>
      <c r="AS206" s="104"/>
      <c r="AT206" s="104"/>
      <c r="AU206" s="104"/>
      <c r="AV206" s="104"/>
      <c r="AW206" s="104"/>
      <c r="AX206" s="104"/>
      <c r="AY206" s="105"/>
      <c r="AZ206" s="2">
        <f t="shared" ref="AZ206:AZ229" si="192">SUM(AJ206:AY206)</f>
        <v>135</v>
      </c>
      <c r="BA206" s="10"/>
      <c r="BB206" s="11">
        <f t="shared" ref="BB206:BB229" si="193">AH206-AZ206</f>
        <v>97</v>
      </c>
      <c r="BC206" s="10"/>
      <c r="BD206" s="12">
        <f>142-AJ206-AL206-AQ206</f>
        <v>142</v>
      </c>
      <c r="BE206" s="12">
        <f>217-AM206-AN206</f>
        <v>117</v>
      </c>
      <c r="BF206" s="2">
        <f t="shared" ref="BF206:BF229" si="194">BD206+BE206</f>
        <v>259</v>
      </c>
      <c r="BG206" s="2">
        <f t="shared" ref="BG206:BG229" si="195">BD206+BE206-BB206</f>
        <v>162</v>
      </c>
    </row>
    <row r="207" spans="1:59" x14ac:dyDescent="0.3">
      <c r="A207" s="9" t="s">
        <v>20</v>
      </c>
      <c r="B207" s="314">
        <v>146</v>
      </c>
      <c r="C207" s="99">
        <f>ROUND(Load!$I$43+'2022'!$E$231*0.485/720,0)</f>
        <v>86</v>
      </c>
      <c r="D207" s="2">
        <f t="shared" si="187"/>
        <v>232</v>
      </c>
      <c r="E207" s="9" t="s">
        <v>20</v>
      </c>
      <c r="F207" s="2"/>
      <c r="G207" s="2">
        <v>35</v>
      </c>
      <c r="H207" s="2"/>
      <c r="I207" s="77"/>
      <c r="J207" s="78">
        <v>100</v>
      </c>
      <c r="K207" s="78"/>
      <c r="L207" s="108"/>
      <c r="M207" s="108"/>
      <c r="N207" s="108"/>
      <c r="O207" s="108"/>
      <c r="P207" s="108"/>
      <c r="Q207" s="108"/>
      <c r="R207" s="108"/>
      <c r="S207" s="108"/>
      <c r="T207" s="108"/>
      <c r="U207" s="109"/>
      <c r="V207" s="2">
        <f t="shared" si="188"/>
        <v>135</v>
      </c>
      <c r="W207" s="10"/>
      <c r="X207" s="11">
        <f t="shared" si="189"/>
        <v>97</v>
      </c>
      <c r="Y207" s="10"/>
      <c r="Z207" s="12">
        <f t="shared" ref="Z207:Z229" si="196">142-F207-H207-M207</f>
        <v>142</v>
      </c>
      <c r="AA207" s="12">
        <f t="shared" ref="AA207:AA229" si="197">217-I207-J207</f>
        <v>117</v>
      </c>
      <c r="AB207" s="2">
        <f t="shared" ref="AB207:AB229" si="198">Z207+AA207</f>
        <v>259</v>
      </c>
      <c r="AC207" s="2">
        <f t="shared" si="190"/>
        <v>162</v>
      </c>
      <c r="AE207" s="9" t="s">
        <v>20</v>
      </c>
      <c r="AF207" s="2">
        <v>146</v>
      </c>
      <c r="AG207" s="99">
        <f>ROUND(Load!$I$43+'2022'!$E$231*0.485/720,0)</f>
        <v>86</v>
      </c>
      <c r="AH207" s="2">
        <f t="shared" si="191"/>
        <v>232</v>
      </c>
      <c r="AI207" s="9" t="s">
        <v>20</v>
      </c>
      <c r="AJ207" s="2"/>
      <c r="AK207" s="2">
        <v>35</v>
      </c>
      <c r="AL207" s="2"/>
      <c r="AM207" s="77"/>
      <c r="AN207" s="78">
        <v>100</v>
      </c>
      <c r="AO207" s="78"/>
      <c r="AP207" s="108"/>
      <c r="AQ207" s="108"/>
      <c r="AR207" s="108"/>
      <c r="AS207" s="108"/>
      <c r="AT207" s="108"/>
      <c r="AU207" s="108"/>
      <c r="AV207" s="108"/>
      <c r="AW207" s="108"/>
      <c r="AX207" s="108"/>
      <c r="AY207" s="109"/>
      <c r="AZ207" s="2">
        <f t="shared" si="192"/>
        <v>135</v>
      </c>
      <c r="BA207" s="10"/>
      <c r="BB207" s="11">
        <f t="shared" si="193"/>
        <v>97</v>
      </c>
      <c r="BC207" s="10"/>
      <c r="BD207" s="12">
        <f t="shared" ref="BD207:BD229" si="199">142-AJ207-AL207-AQ207</f>
        <v>142</v>
      </c>
      <c r="BE207" s="12">
        <f t="shared" ref="BE207:BE229" si="200">217-AM207-AN207</f>
        <v>117</v>
      </c>
      <c r="BF207" s="2">
        <f t="shared" si="194"/>
        <v>259</v>
      </c>
      <c r="BG207" s="2">
        <f t="shared" si="195"/>
        <v>162</v>
      </c>
    </row>
    <row r="208" spans="1:59" x14ac:dyDescent="0.3">
      <c r="A208" s="9" t="s">
        <v>21</v>
      </c>
      <c r="B208" s="314">
        <v>146</v>
      </c>
      <c r="C208" s="99">
        <f>ROUND(Load!$I$43+'2022'!$E$231*0.485/720,0)</f>
        <v>86</v>
      </c>
      <c r="D208" s="2">
        <f t="shared" si="187"/>
        <v>232</v>
      </c>
      <c r="E208" s="9" t="s">
        <v>21</v>
      </c>
      <c r="F208" s="2"/>
      <c r="G208" s="2">
        <v>35</v>
      </c>
      <c r="H208" s="2"/>
      <c r="I208" s="77"/>
      <c r="J208" s="78">
        <v>100</v>
      </c>
      <c r="K208" s="78"/>
      <c r="L208" s="108"/>
      <c r="M208" s="108"/>
      <c r="N208" s="108"/>
      <c r="O208" s="108"/>
      <c r="P208" s="108"/>
      <c r="Q208" s="108"/>
      <c r="R208" s="108"/>
      <c r="S208" s="108"/>
      <c r="T208" s="108"/>
      <c r="U208" s="109"/>
      <c r="V208" s="2">
        <f t="shared" si="188"/>
        <v>135</v>
      </c>
      <c r="W208" s="10"/>
      <c r="X208" s="11">
        <f t="shared" si="189"/>
        <v>97</v>
      </c>
      <c r="Y208" s="10"/>
      <c r="Z208" s="12">
        <f t="shared" si="196"/>
        <v>142</v>
      </c>
      <c r="AA208" s="12">
        <f t="shared" si="197"/>
        <v>117</v>
      </c>
      <c r="AB208" s="2">
        <f t="shared" si="198"/>
        <v>259</v>
      </c>
      <c r="AC208" s="2">
        <f t="shared" si="190"/>
        <v>162</v>
      </c>
      <c r="AE208" s="9" t="s">
        <v>21</v>
      </c>
      <c r="AF208" s="2">
        <v>146</v>
      </c>
      <c r="AG208" s="99">
        <f>ROUND(Load!$I$43+'2022'!$E$231*0.485/720,0)</f>
        <v>86</v>
      </c>
      <c r="AH208" s="2">
        <f t="shared" si="191"/>
        <v>232</v>
      </c>
      <c r="AI208" s="9" t="s">
        <v>21</v>
      </c>
      <c r="AJ208" s="2"/>
      <c r="AK208" s="2">
        <v>35</v>
      </c>
      <c r="AL208" s="2"/>
      <c r="AM208" s="77"/>
      <c r="AN208" s="78">
        <v>100</v>
      </c>
      <c r="AO208" s="78"/>
      <c r="AP208" s="108"/>
      <c r="AQ208" s="108"/>
      <c r="AR208" s="108"/>
      <c r="AS208" s="108"/>
      <c r="AT208" s="108"/>
      <c r="AU208" s="108"/>
      <c r="AV208" s="108"/>
      <c r="AW208" s="108"/>
      <c r="AX208" s="108"/>
      <c r="AY208" s="109"/>
      <c r="AZ208" s="2">
        <f t="shared" si="192"/>
        <v>135</v>
      </c>
      <c r="BA208" s="10"/>
      <c r="BB208" s="11">
        <f t="shared" si="193"/>
        <v>97</v>
      </c>
      <c r="BC208" s="10"/>
      <c r="BD208" s="12">
        <f t="shared" si="199"/>
        <v>142</v>
      </c>
      <c r="BE208" s="12">
        <f t="shared" si="200"/>
        <v>117</v>
      </c>
      <c r="BF208" s="2">
        <f t="shared" si="194"/>
        <v>259</v>
      </c>
      <c r="BG208" s="2">
        <f t="shared" si="195"/>
        <v>162</v>
      </c>
    </row>
    <row r="209" spans="1:59" x14ac:dyDescent="0.3">
      <c r="A209" s="9" t="s">
        <v>22</v>
      </c>
      <c r="B209" s="314">
        <v>146</v>
      </c>
      <c r="C209" s="99">
        <f>ROUND(Load!$I$43+'2022'!$E$231*0.485/720,0)</f>
        <v>86</v>
      </c>
      <c r="D209" s="2">
        <f t="shared" si="187"/>
        <v>232</v>
      </c>
      <c r="E209" s="9" t="s">
        <v>22</v>
      </c>
      <c r="F209" s="2"/>
      <c r="G209" s="2">
        <v>35</v>
      </c>
      <c r="H209" s="2"/>
      <c r="I209" s="77"/>
      <c r="J209" s="78">
        <v>100</v>
      </c>
      <c r="K209" s="78"/>
      <c r="L209" s="108"/>
      <c r="M209" s="108"/>
      <c r="N209" s="108"/>
      <c r="O209" s="108"/>
      <c r="P209" s="108"/>
      <c r="Q209" s="108"/>
      <c r="R209" s="108"/>
      <c r="S209" s="108"/>
      <c r="T209" s="108"/>
      <c r="U209" s="109"/>
      <c r="V209" s="2">
        <f t="shared" si="188"/>
        <v>135</v>
      </c>
      <c r="W209" s="10"/>
      <c r="X209" s="11">
        <f t="shared" si="189"/>
        <v>97</v>
      </c>
      <c r="Y209" s="10"/>
      <c r="Z209" s="12">
        <f t="shared" si="196"/>
        <v>142</v>
      </c>
      <c r="AA209" s="12">
        <f t="shared" si="197"/>
        <v>117</v>
      </c>
      <c r="AB209" s="2">
        <f t="shared" si="198"/>
        <v>259</v>
      </c>
      <c r="AC209" s="2">
        <f t="shared" si="190"/>
        <v>162</v>
      </c>
      <c r="AE209" s="9" t="s">
        <v>22</v>
      </c>
      <c r="AF209" s="2">
        <v>146</v>
      </c>
      <c r="AG209" s="99">
        <f>ROUND(Load!$I$43+'2022'!$E$231*0.485/720,0)</f>
        <v>86</v>
      </c>
      <c r="AH209" s="2">
        <f t="shared" si="191"/>
        <v>232</v>
      </c>
      <c r="AI209" s="9" t="s">
        <v>22</v>
      </c>
      <c r="AJ209" s="2"/>
      <c r="AK209" s="2">
        <v>35</v>
      </c>
      <c r="AL209" s="2"/>
      <c r="AM209" s="77"/>
      <c r="AN209" s="78">
        <v>100</v>
      </c>
      <c r="AO209" s="78"/>
      <c r="AP209" s="108"/>
      <c r="AQ209" s="108"/>
      <c r="AR209" s="108"/>
      <c r="AS209" s="108"/>
      <c r="AT209" s="108"/>
      <c r="AU209" s="108"/>
      <c r="AV209" s="108"/>
      <c r="AW209" s="108"/>
      <c r="AX209" s="108"/>
      <c r="AY209" s="109"/>
      <c r="AZ209" s="2">
        <f t="shared" si="192"/>
        <v>135</v>
      </c>
      <c r="BA209" s="10"/>
      <c r="BB209" s="11">
        <f t="shared" si="193"/>
        <v>97</v>
      </c>
      <c r="BC209" s="10"/>
      <c r="BD209" s="12">
        <f t="shared" si="199"/>
        <v>142</v>
      </c>
      <c r="BE209" s="12">
        <f t="shared" si="200"/>
        <v>117</v>
      </c>
      <c r="BF209" s="2">
        <f t="shared" si="194"/>
        <v>259</v>
      </c>
      <c r="BG209" s="2">
        <f t="shared" si="195"/>
        <v>162</v>
      </c>
    </row>
    <row r="210" spans="1:59" x14ac:dyDescent="0.3">
      <c r="A210" s="9" t="s">
        <v>23</v>
      </c>
      <c r="B210" s="314">
        <v>146</v>
      </c>
      <c r="C210" s="99">
        <f>ROUND(Load!$I$43+'2022'!$E$231*0.485/720,0)</f>
        <v>86</v>
      </c>
      <c r="D210" s="2">
        <f t="shared" si="187"/>
        <v>232</v>
      </c>
      <c r="E210" s="9" t="s">
        <v>23</v>
      </c>
      <c r="F210" s="2"/>
      <c r="G210" s="2">
        <v>35</v>
      </c>
      <c r="H210" s="2"/>
      <c r="I210" s="77"/>
      <c r="J210" s="78">
        <v>100</v>
      </c>
      <c r="K210" s="78"/>
      <c r="L210" s="108"/>
      <c r="M210" s="108"/>
      <c r="N210" s="108"/>
      <c r="O210" s="108"/>
      <c r="P210" s="108"/>
      <c r="Q210" s="108"/>
      <c r="R210" s="108"/>
      <c r="S210" s="108"/>
      <c r="T210" s="108"/>
      <c r="U210" s="109"/>
      <c r="V210" s="2">
        <f t="shared" si="188"/>
        <v>135</v>
      </c>
      <c r="W210" s="10"/>
      <c r="X210" s="11">
        <f t="shared" si="189"/>
        <v>97</v>
      </c>
      <c r="Y210" s="10"/>
      <c r="Z210" s="12">
        <f t="shared" si="196"/>
        <v>142</v>
      </c>
      <c r="AA210" s="12">
        <f t="shared" si="197"/>
        <v>117</v>
      </c>
      <c r="AB210" s="2">
        <f t="shared" si="198"/>
        <v>259</v>
      </c>
      <c r="AC210" s="2">
        <f t="shared" si="190"/>
        <v>162</v>
      </c>
      <c r="AE210" s="9" t="s">
        <v>23</v>
      </c>
      <c r="AF210" s="2">
        <v>146</v>
      </c>
      <c r="AG210" s="99">
        <f>ROUND(Load!$I$43+'2022'!$E$231*0.485/720,0)</f>
        <v>86</v>
      </c>
      <c r="AH210" s="2">
        <f t="shared" si="191"/>
        <v>232</v>
      </c>
      <c r="AI210" s="9" t="s">
        <v>23</v>
      </c>
      <c r="AJ210" s="2"/>
      <c r="AK210" s="2">
        <v>35</v>
      </c>
      <c r="AL210" s="2"/>
      <c r="AM210" s="77"/>
      <c r="AN210" s="78">
        <v>100</v>
      </c>
      <c r="AO210" s="78"/>
      <c r="AP210" s="108"/>
      <c r="AQ210" s="108"/>
      <c r="AR210" s="108"/>
      <c r="AS210" s="108"/>
      <c r="AT210" s="108"/>
      <c r="AU210" s="108"/>
      <c r="AV210" s="108"/>
      <c r="AW210" s="108"/>
      <c r="AX210" s="108"/>
      <c r="AY210" s="109"/>
      <c r="AZ210" s="2">
        <f t="shared" si="192"/>
        <v>135</v>
      </c>
      <c r="BA210" s="10"/>
      <c r="BB210" s="11">
        <f t="shared" si="193"/>
        <v>97</v>
      </c>
      <c r="BC210" s="10"/>
      <c r="BD210" s="12">
        <f>142-AJ210-AL210-AQ210</f>
        <v>142</v>
      </c>
      <c r="BE210" s="12">
        <f t="shared" si="200"/>
        <v>117</v>
      </c>
      <c r="BF210" s="2">
        <f t="shared" si="194"/>
        <v>259</v>
      </c>
      <c r="BG210" s="2">
        <f t="shared" si="195"/>
        <v>162</v>
      </c>
    </row>
    <row r="211" spans="1:59" x14ac:dyDescent="0.3">
      <c r="A211" s="9" t="s">
        <v>24</v>
      </c>
      <c r="B211" s="314">
        <v>146</v>
      </c>
      <c r="C211" s="99">
        <f>ROUND(Load!$I$43+'2022'!$E$231*0.485/720,0)</f>
        <v>86</v>
      </c>
      <c r="D211" s="2">
        <f t="shared" si="187"/>
        <v>232</v>
      </c>
      <c r="E211" s="9" t="s">
        <v>24</v>
      </c>
      <c r="F211" s="2"/>
      <c r="G211" s="2">
        <v>35</v>
      </c>
      <c r="H211" s="2"/>
      <c r="I211" s="77"/>
      <c r="J211" s="78">
        <v>100</v>
      </c>
      <c r="K211" s="78"/>
      <c r="L211" s="108"/>
      <c r="M211" s="108"/>
      <c r="N211" s="108"/>
      <c r="O211" s="108"/>
      <c r="P211" s="108"/>
      <c r="Q211" s="108"/>
      <c r="R211" s="108"/>
      <c r="S211" s="108"/>
      <c r="T211" s="108"/>
      <c r="U211" s="109"/>
      <c r="V211" s="2">
        <f t="shared" si="188"/>
        <v>135</v>
      </c>
      <c r="W211" s="10"/>
      <c r="X211" s="11">
        <f t="shared" si="189"/>
        <v>97</v>
      </c>
      <c r="Y211" s="10"/>
      <c r="Z211" s="12">
        <f>142-F211-H211-M211</f>
        <v>142</v>
      </c>
      <c r="AA211" s="12">
        <f t="shared" si="197"/>
        <v>117</v>
      </c>
      <c r="AB211" s="2">
        <f t="shared" si="198"/>
        <v>259</v>
      </c>
      <c r="AC211" s="2">
        <f t="shared" si="190"/>
        <v>162</v>
      </c>
      <c r="AE211" s="9" t="s">
        <v>24</v>
      </c>
      <c r="AF211" s="2">
        <v>146</v>
      </c>
      <c r="AG211" s="99">
        <f>ROUND(Load!$I$43+'2022'!$E$231*0.485/720,0)</f>
        <v>86</v>
      </c>
      <c r="AH211" s="2">
        <f t="shared" si="191"/>
        <v>232</v>
      </c>
      <c r="AI211" s="9" t="s">
        <v>24</v>
      </c>
      <c r="AJ211" s="2"/>
      <c r="AK211" s="2">
        <v>35</v>
      </c>
      <c r="AL211" s="2"/>
      <c r="AM211" s="77"/>
      <c r="AN211" s="78">
        <v>100</v>
      </c>
      <c r="AO211" s="78"/>
      <c r="AP211" s="108"/>
      <c r="AQ211" s="108"/>
      <c r="AR211" s="108"/>
      <c r="AS211" s="108"/>
      <c r="AT211" s="108"/>
      <c r="AU211" s="108"/>
      <c r="AV211" s="108"/>
      <c r="AW211" s="108"/>
      <c r="AX211" s="108"/>
      <c r="AY211" s="109"/>
      <c r="AZ211" s="2">
        <f t="shared" si="192"/>
        <v>135</v>
      </c>
      <c r="BA211" s="10"/>
      <c r="BB211" s="11">
        <f t="shared" si="193"/>
        <v>97</v>
      </c>
      <c r="BC211" s="10"/>
      <c r="BD211" s="12">
        <f t="shared" si="199"/>
        <v>142</v>
      </c>
      <c r="BE211" s="12">
        <f t="shared" si="200"/>
        <v>117</v>
      </c>
      <c r="BF211" s="2">
        <f t="shared" si="194"/>
        <v>259</v>
      </c>
      <c r="BG211" s="2">
        <f t="shared" si="195"/>
        <v>162</v>
      </c>
    </row>
    <row r="212" spans="1:59" x14ac:dyDescent="0.3">
      <c r="A212" s="9" t="s">
        <v>25</v>
      </c>
      <c r="B212" s="314"/>
      <c r="C212" s="99">
        <f>ROUND(Load!$I$43+'2022'!$E$231*0.485/720,0)</f>
        <v>86</v>
      </c>
      <c r="D212" s="2">
        <f t="shared" si="187"/>
        <v>86</v>
      </c>
      <c r="E212" s="9" t="s">
        <v>25</v>
      </c>
      <c r="F212" s="2">
        <f>'Hoover with 30 MW Solar'!$G$39</f>
        <v>32</v>
      </c>
      <c r="G212" s="2">
        <v>35</v>
      </c>
      <c r="H212" s="2"/>
      <c r="I212" s="77">
        <v>75</v>
      </c>
      <c r="J212" s="78"/>
      <c r="K212" s="78"/>
      <c r="L212" s="108"/>
      <c r="M212" s="108"/>
      <c r="N212" s="108"/>
      <c r="O212" s="108"/>
      <c r="P212" s="108"/>
      <c r="Q212" s="108"/>
      <c r="R212" s="108"/>
      <c r="S212" s="108"/>
      <c r="T212" s="108"/>
      <c r="U212" s="109">
        <v>-15</v>
      </c>
      <c r="V212" s="2">
        <f t="shared" si="188"/>
        <v>127</v>
      </c>
      <c r="W212" s="10"/>
      <c r="X212" s="13">
        <f t="shared" si="189"/>
        <v>-41</v>
      </c>
      <c r="Y212" s="10"/>
      <c r="Z212" s="14">
        <f t="shared" si="196"/>
        <v>110</v>
      </c>
      <c r="AA212" s="14">
        <f t="shared" si="197"/>
        <v>142</v>
      </c>
      <c r="AB212" s="2">
        <f t="shared" si="198"/>
        <v>252</v>
      </c>
      <c r="AC212" s="2">
        <f t="shared" si="190"/>
        <v>293</v>
      </c>
      <c r="AE212" s="9" t="s">
        <v>25</v>
      </c>
      <c r="AF212" s="314">
        <v>98</v>
      </c>
      <c r="AG212" s="99">
        <f>ROUND(Load!$I$43+'2022'!$E$231*0.485/720,0)</f>
        <v>86</v>
      </c>
      <c r="AH212" s="2">
        <f t="shared" si="191"/>
        <v>184</v>
      </c>
      <c r="AI212" s="9" t="s">
        <v>25</v>
      </c>
      <c r="AJ212" s="2">
        <f>'Hoover with 30 MW Solar'!$G$39</f>
        <v>32</v>
      </c>
      <c r="AK212" s="2">
        <v>35</v>
      </c>
      <c r="AL212" s="2"/>
      <c r="AM212" s="77"/>
      <c r="AN212" s="78">
        <v>100</v>
      </c>
      <c r="AO212" s="78"/>
      <c r="AP212" s="108"/>
      <c r="AQ212" s="108"/>
      <c r="AR212" s="108"/>
      <c r="AS212" s="108"/>
      <c r="AT212" s="108"/>
      <c r="AU212" s="108"/>
      <c r="AV212" s="108"/>
      <c r="AW212" s="108"/>
      <c r="AX212" s="108"/>
      <c r="AY212" s="109">
        <v>-15</v>
      </c>
      <c r="AZ212" s="2">
        <f t="shared" si="192"/>
        <v>152</v>
      </c>
      <c r="BA212" s="10"/>
      <c r="BB212" s="13">
        <f t="shared" si="193"/>
        <v>32</v>
      </c>
      <c r="BC212" s="10"/>
      <c r="BD212" s="14">
        <f t="shared" si="199"/>
        <v>110</v>
      </c>
      <c r="BE212" s="14">
        <f t="shared" si="200"/>
        <v>117</v>
      </c>
      <c r="BF212" s="2">
        <f t="shared" si="194"/>
        <v>227</v>
      </c>
      <c r="BG212" s="2">
        <f t="shared" si="195"/>
        <v>195</v>
      </c>
    </row>
    <row r="213" spans="1:59" x14ac:dyDescent="0.3">
      <c r="A213" s="9" t="s">
        <v>26</v>
      </c>
      <c r="B213" s="314"/>
      <c r="C213" s="99">
        <f>ROUND(Load!$I$43+'2022'!$E$231*0.485/720,0)</f>
        <v>86</v>
      </c>
      <c r="D213" s="2">
        <f t="shared" si="187"/>
        <v>86</v>
      </c>
      <c r="E213" s="9" t="s">
        <v>26</v>
      </c>
      <c r="F213" s="2">
        <f>'Hoover with 30 MW Solar'!$G$39</f>
        <v>32</v>
      </c>
      <c r="G213" s="2">
        <v>35</v>
      </c>
      <c r="H213" s="2"/>
      <c r="I213" s="77">
        <v>75</v>
      </c>
      <c r="J213" s="78"/>
      <c r="K213" s="78"/>
      <c r="L213" s="108"/>
      <c r="M213" s="108"/>
      <c r="N213" s="108"/>
      <c r="O213" s="108"/>
      <c r="P213" s="108"/>
      <c r="Q213" s="108"/>
      <c r="R213" s="108"/>
      <c r="S213" s="108"/>
      <c r="T213" s="108"/>
      <c r="U213" s="109">
        <v>-15</v>
      </c>
      <c r="V213" s="2">
        <f t="shared" si="188"/>
        <v>127</v>
      </c>
      <c r="W213" s="10"/>
      <c r="X213" s="13">
        <f t="shared" si="189"/>
        <v>-41</v>
      </c>
      <c r="Y213" s="10"/>
      <c r="Z213" s="14">
        <f t="shared" si="196"/>
        <v>110</v>
      </c>
      <c r="AA213" s="14">
        <f t="shared" si="197"/>
        <v>142</v>
      </c>
      <c r="AB213" s="2">
        <f t="shared" si="198"/>
        <v>252</v>
      </c>
      <c r="AC213" s="2">
        <f t="shared" si="190"/>
        <v>293</v>
      </c>
      <c r="AE213" s="9" t="s">
        <v>26</v>
      </c>
      <c r="AF213" s="314">
        <v>98</v>
      </c>
      <c r="AG213" s="99">
        <f>ROUND(Load!$I$43+'2022'!$E$231*0.485/720,0)</f>
        <v>86</v>
      </c>
      <c r="AH213" s="2">
        <f t="shared" si="191"/>
        <v>184</v>
      </c>
      <c r="AI213" s="9" t="s">
        <v>26</v>
      </c>
      <c r="AJ213" s="2">
        <f>'Hoover with 30 MW Solar'!$G$39</f>
        <v>32</v>
      </c>
      <c r="AK213" s="2">
        <v>35</v>
      </c>
      <c r="AL213" s="2"/>
      <c r="AM213" s="77"/>
      <c r="AN213" s="78">
        <v>100</v>
      </c>
      <c r="AO213" s="78"/>
      <c r="AP213" s="108"/>
      <c r="AQ213" s="108"/>
      <c r="AR213" s="108"/>
      <c r="AS213" s="108"/>
      <c r="AT213" s="108"/>
      <c r="AU213" s="108"/>
      <c r="AV213" s="108"/>
      <c r="AW213" s="108"/>
      <c r="AX213" s="108"/>
      <c r="AY213" s="109">
        <v>-15</v>
      </c>
      <c r="AZ213" s="2">
        <f t="shared" si="192"/>
        <v>152</v>
      </c>
      <c r="BA213" s="10"/>
      <c r="BB213" s="13">
        <f t="shared" si="193"/>
        <v>32</v>
      </c>
      <c r="BC213" s="10"/>
      <c r="BD213" s="14">
        <f t="shared" si="199"/>
        <v>110</v>
      </c>
      <c r="BE213" s="14">
        <f t="shared" si="200"/>
        <v>117</v>
      </c>
      <c r="BF213" s="2">
        <f t="shared" si="194"/>
        <v>227</v>
      </c>
      <c r="BG213" s="2">
        <f t="shared" si="195"/>
        <v>195</v>
      </c>
    </row>
    <row r="214" spans="1:59" x14ac:dyDescent="0.3">
      <c r="A214" s="9" t="s">
        <v>27</v>
      </c>
      <c r="B214" s="314">
        <v>146</v>
      </c>
      <c r="C214" s="99">
        <f>ROUND(Load!$I$43+'2022'!$E$231*0.485/720,0)</f>
        <v>86</v>
      </c>
      <c r="D214" s="2">
        <f t="shared" si="187"/>
        <v>232</v>
      </c>
      <c r="E214" s="9" t="s">
        <v>27</v>
      </c>
      <c r="F214" s="2">
        <f>'Hoover with 30 MW Solar'!$G$39</f>
        <v>32</v>
      </c>
      <c r="G214" s="2">
        <v>35</v>
      </c>
      <c r="H214" s="2"/>
      <c r="I214" s="77">
        <v>75</v>
      </c>
      <c r="J214" s="78"/>
      <c r="K214" s="78"/>
      <c r="L214" s="108"/>
      <c r="M214" s="108"/>
      <c r="N214" s="108"/>
      <c r="O214" s="108"/>
      <c r="P214" s="108"/>
      <c r="Q214" s="108"/>
      <c r="R214" s="108"/>
      <c r="S214" s="108"/>
      <c r="T214" s="108"/>
      <c r="U214" s="109">
        <v>-15</v>
      </c>
      <c r="V214" s="2">
        <f t="shared" si="188"/>
        <v>127</v>
      </c>
      <c r="W214" s="10"/>
      <c r="X214" s="13">
        <f t="shared" si="189"/>
        <v>105</v>
      </c>
      <c r="Y214" s="10"/>
      <c r="Z214" s="14">
        <f t="shared" si="196"/>
        <v>110</v>
      </c>
      <c r="AA214" s="14">
        <f t="shared" si="197"/>
        <v>142</v>
      </c>
      <c r="AB214" s="2">
        <f t="shared" si="198"/>
        <v>252</v>
      </c>
      <c r="AC214" s="2">
        <f t="shared" si="190"/>
        <v>147</v>
      </c>
      <c r="AE214" s="9" t="s">
        <v>27</v>
      </c>
      <c r="AF214" s="314">
        <v>98</v>
      </c>
      <c r="AG214" s="99">
        <f>ROUND(Load!$I$43+'2022'!$E$231*0.485/720,0)</f>
        <v>86</v>
      </c>
      <c r="AH214" s="2">
        <f t="shared" si="191"/>
        <v>184</v>
      </c>
      <c r="AI214" s="9" t="s">
        <v>27</v>
      </c>
      <c r="AJ214" s="2">
        <f>'Hoover with 30 MW Solar'!$G$39</f>
        <v>32</v>
      </c>
      <c r="AK214" s="2">
        <v>35</v>
      </c>
      <c r="AL214" s="2"/>
      <c r="AM214" s="77"/>
      <c r="AN214" s="78">
        <v>100</v>
      </c>
      <c r="AO214" s="78"/>
      <c r="AP214" s="108"/>
      <c r="AQ214" s="108"/>
      <c r="AR214" s="108"/>
      <c r="AS214" s="108"/>
      <c r="AT214" s="108"/>
      <c r="AU214" s="108"/>
      <c r="AV214" s="108"/>
      <c r="AW214" s="108"/>
      <c r="AX214" s="108"/>
      <c r="AY214" s="109">
        <v>-15</v>
      </c>
      <c r="AZ214" s="2">
        <f t="shared" si="192"/>
        <v>152</v>
      </c>
      <c r="BA214" s="10"/>
      <c r="BB214" s="13">
        <f t="shared" si="193"/>
        <v>32</v>
      </c>
      <c r="BC214" s="10"/>
      <c r="BD214" s="14">
        <f t="shared" si="199"/>
        <v>110</v>
      </c>
      <c r="BE214" s="14">
        <f t="shared" si="200"/>
        <v>117</v>
      </c>
      <c r="BF214" s="2">
        <f t="shared" si="194"/>
        <v>227</v>
      </c>
      <c r="BG214" s="2">
        <f t="shared" si="195"/>
        <v>195</v>
      </c>
    </row>
    <row r="215" spans="1:59" x14ac:dyDescent="0.3">
      <c r="A215" s="9" t="s">
        <v>28</v>
      </c>
      <c r="B215" s="314">
        <v>146</v>
      </c>
      <c r="C215" s="99">
        <f>ROUND(Load!$I$43+'2022'!$E$231*0.485/720,0)</f>
        <v>86</v>
      </c>
      <c r="D215" s="2">
        <f t="shared" si="187"/>
        <v>232</v>
      </c>
      <c r="E215" s="9" t="s">
        <v>28</v>
      </c>
      <c r="F215" s="2">
        <f>'Hoover with 30 MW Solar'!$G$39</f>
        <v>32</v>
      </c>
      <c r="G215" s="2">
        <v>35</v>
      </c>
      <c r="H215" s="2"/>
      <c r="I215" s="77">
        <v>75</v>
      </c>
      <c r="J215" s="78"/>
      <c r="K215" s="78"/>
      <c r="L215" s="108"/>
      <c r="M215" s="108"/>
      <c r="N215" s="108"/>
      <c r="O215" s="108"/>
      <c r="P215" s="108"/>
      <c r="Q215" s="108"/>
      <c r="R215" s="108"/>
      <c r="S215" s="108"/>
      <c r="T215" s="108"/>
      <c r="U215" s="109">
        <v>-15</v>
      </c>
      <c r="V215" s="2">
        <f t="shared" si="188"/>
        <v>127</v>
      </c>
      <c r="W215" s="10"/>
      <c r="X215" s="13">
        <f t="shared" si="189"/>
        <v>105</v>
      </c>
      <c r="Y215" s="10"/>
      <c r="Z215" s="14">
        <f t="shared" si="196"/>
        <v>110</v>
      </c>
      <c r="AA215" s="14">
        <f t="shared" si="197"/>
        <v>142</v>
      </c>
      <c r="AB215" s="2">
        <f t="shared" si="198"/>
        <v>252</v>
      </c>
      <c r="AC215" s="2">
        <f t="shared" si="190"/>
        <v>147</v>
      </c>
      <c r="AE215" s="9" t="s">
        <v>28</v>
      </c>
      <c r="AF215" s="314">
        <v>98</v>
      </c>
      <c r="AG215" s="99">
        <f>ROUND(Load!$I$43+'2022'!$E$231*0.485/720,0)</f>
        <v>86</v>
      </c>
      <c r="AH215" s="2">
        <f t="shared" si="191"/>
        <v>184</v>
      </c>
      <c r="AI215" s="9" t="s">
        <v>28</v>
      </c>
      <c r="AJ215" s="2">
        <f>'Hoover with 30 MW Solar'!$G$39</f>
        <v>32</v>
      </c>
      <c r="AK215" s="2">
        <v>35</v>
      </c>
      <c r="AL215" s="2"/>
      <c r="AM215" s="77"/>
      <c r="AN215" s="78">
        <v>100</v>
      </c>
      <c r="AO215" s="78"/>
      <c r="AP215" s="108"/>
      <c r="AQ215" s="108"/>
      <c r="AR215" s="108"/>
      <c r="AS215" s="108"/>
      <c r="AT215" s="108"/>
      <c r="AU215" s="108"/>
      <c r="AV215" s="108"/>
      <c r="AW215" s="108"/>
      <c r="AX215" s="108"/>
      <c r="AY215" s="109">
        <v>-15</v>
      </c>
      <c r="AZ215" s="2">
        <f t="shared" si="192"/>
        <v>152</v>
      </c>
      <c r="BA215" s="10"/>
      <c r="BB215" s="13">
        <f t="shared" si="193"/>
        <v>32</v>
      </c>
      <c r="BC215" s="10"/>
      <c r="BD215" s="14">
        <f t="shared" si="199"/>
        <v>110</v>
      </c>
      <c r="BE215" s="14">
        <f t="shared" si="200"/>
        <v>117</v>
      </c>
      <c r="BF215" s="2">
        <f t="shared" si="194"/>
        <v>227</v>
      </c>
      <c r="BG215" s="2">
        <f t="shared" si="195"/>
        <v>195</v>
      </c>
    </row>
    <row r="216" spans="1:59" x14ac:dyDescent="0.3">
      <c r="A216" s="9" t="s">
        <v>29</v>
      </c>
      <c r="B216" s="314">
        <v>146</v>
      </c>
      <c r="C216" s="99">
        <f>ROUND(Load!$I$43+'2022'!$E$231*0.485/720,0)</f>
        <v>86</v>
      </c>
      <c r="D216" s="2">
        <f t="shared" si="187"/>
        <v>232</v>
      </c>
      <c r="E216" s="9" t="s">
        <v>29</v>
      </c>
      <c r="F216" s="2">
        <f>'Hoover with 30 MW Solar'!$G$39</f>
        <v>32</v>
      </c>
      <c r="G216" s="2">
        <v>35</v>
      </c>
      <c r="H216" s="2"/>
      <c r="I216" s="77">
        <v>75</v>
      </c>
      <c r="J216" s="78"/>
      <c r="K216" s="78"/>
      <c r="L216" s="108"/>
      <c r="M216" s="108"/>
      <c r="N216" s="108"/>
      <c r="O216" s="108"/>
      <c r="P216" s="108"/>
      <c r="Q216" s="108"/>
      <c r="R216" s="108"/>
      <c r="S216" s="108"/>
      <c r="T216" s="108"/>
      <c r="U216" s="109">
        <v>-15</v>
      </c>
      <c r="V216" s="2">
        <f t="shared" si="188"/>
        <v>127</v>
      </c>
      <c r="W216" s="10"/>
      <c r="X216" s="13">
        <f t="shared" si="189"/>
        <v>105</v>
      </c>
      <c r="Y216" s="10"/>
      <c r="Z216" s="14">
        <f t="shared" si="196"/>
        <v>110</v>
      </c>
      <c r="AA216" s="14">
        <f t="shared" si="197"/>
        <v>142</v>
      </c>
      <c r="AB216" s="2">
        <f t="shared" si="198"/>
        <v>252</v>
      </c>
      <c r="AC216" s="2">
        <f t="shared" si="190"/>
        <v>147</v>
      </c>
      <c r="AE216" s="9" t="s">
        <v>29</v>
      </c>
      <c r="AF216" s="314">
        <v>98</v>
      </c>
      <c r="AG216" s="99">
        <f>ROUND(Load!$I$43+'2022'!$E$231*0.485/720,0)</f>
        <v>86</v>
      </c>
      <c r="AH216" s="2">
        <f t="shared" si="191"/>
        <v>184</v>
      </c>
      <c r="AI216" s="9" t="s">
        <v>29</v>
      </c>
      <c r="AJ216" s="2">
        <f>'Hoover with 30 MW Solar'!$G$39</f>
        <v>32</v>
      </c>
      <c r="AK216" s="2">
        <v>35</v>
      </c>
      <c r="AL216" s="2"/>
      <c r="AM216" s="77"/>
      <c r="AN216" s="78">
        <v>100</v>
      </c>
      <c r="AO216" s="78"/>
      <c r="AP216" s="108"/>
      <c r="AQ216" s="108"/>
      <c r="AR216" s="108"/>
      <c r="AS216" s="108"/>
      <c r="AT216" s="108"/>
      <c r="AU216" s="108"/>
      <c r="AV216" s="108"/>
      <c r="AW216" s="108"/>
      <c r="AX216" s="108"/>
      <c r="AY216" s="109">
        <v>-15</v>
      </c>
      <c r="AZ216" s="2">
        <f t="shared" si="192"/>
        <v>152</v>
      </c>
      <c r="BA216" s="10"/>
      <c r="BB216" s="13">
        <f t="shared" si="193"/>
        <v>32</v>
      </c>
      <c r="BC216" s="10"/>
      <c r="BD216" s="14">
        <f t="shared" si="199"/>
        <v>110</v>
      </c>
      <c r="BE216" s="14">
        <f t="shared" si="200"/>
        <v>117</v>
      </c>
      <c r="BF216" s="2">
        <f t="shared" si="194"/>
        <v>227</v>
      </c>
      <c r="BG216" s="2">
        <f t="shared" si="195"/>
        <v>195</v>
      </c>
    </row>
    <row r="217" spans="1:59" x14ac:dyDescent="0.3">
      <c r="A217" s="9" t="s">
        <v>30</v>
      </c>
      <c r="B217" s="314">
        <v>146</v>
      </c>
      <c r="C217" s="99">
        <f>ROUND(Load!$I$43+'2022'!$E$231*0.485/720,0)</f>
        <v>86</v>
      </c>
      <c r="D217" s="2">
        <f t="shared" si="187"/>
        <v>232</v>
      </c>
      <c r="E217" s="9" t="s">
        <v>30</v>
      </c>
      <c r="F217" s="2">
        <f>'Hoover with 30 MW Solar'!$G$39</f>
        <v>32</v>
      </c>
      <c r="G217" s="2">
        <v>35</v>
      </c>
      <c r="H217" s="2"/>
      <c r="I217" s="77">
        <v>75</v>
      </c>
      <c r="J217" s="78"/>
      <c r="K217" s="78"/>
      <c r="L217" s="108"/>
      <c r="M217" s="108"/>
      <c r="N217" s="108"/>
      <c r="O217" s="108"/>
      <c r="P217" s="108"/>
      <c r="Q217" s="108"/>
      <c r="R217" s="108"/>
      <c r="S217" s="108"/>
      <c r="T217" s="108"/>
      <c r="U217" s="109">
        <v>-15</v>
      </c>
      <c r="V217" s="2">
        <f t="shared" si="188"/>
        <v>127</v>
      </c>
      <c r="W217" s="10"/>
      <c r="X217" s="13">
        <f t="shared" si="189"/>
        <v>105</v>
      </c>
      <c r="Y217" s="10"/>
      <c r="Z217" s="14">
        <f t="shared" si="196"/>
        <v>110</v>
      </c>
      <c r="AA217" s="14">
        <f t="shared" si="197"/>
        <v>142</v>
      </c>
      <c r="AB217" s="2">
        <f t="shared" si="198"/>
        <v>252</v>
      </c>
      <c r="AC217" s="2">
        <f t="shared" si="190"/>
        <v>147</v>
      </c>
      <c r="AE217" s="9" t="s">
        <v>30</v>
      </c>
      <c r="AF217" s="314">
        <v>98</v>
      </c>
      <c r="AG217" s="99">
        <f>ROUND(Load!$I$43+'2022'!$E$231*0.485/720,0)</f>
        <v>86</v>
      </c>
      <c r="AH217" s="2">
        <f t="shared" si="191"/>
        <v>184</v>
      </c>
      <c r="AI217" s="9" t="s">
        <v>30</v>
      </c>
      <c r="AJ217" s="2">
        <f>'Hoover with 30 MW Solar'!$G$39</f>
        <v>32</v>
      </c>
      <c r="AK217" s="2">
        <v>35</v>
      </c>
      <c r="AL217" s="2"/>
      <c r="AM217" s="77"/>
      <c r="AN217" s="78">
        <v>100</v>
      </c>
      <c r="AO217" s="78"/>
      <c r="AP217" s="108"/>
      <c r="AQ217" s="108"/>
      <c r="AR217" s="108"/>
      <c r="AS217" s="108"/>
      <c r="AT217" s="108"/>
      <c r="AU217" s="108"/>
      <c r="AV217" s="108"/>
      <c r="AW217" s="108"/>
      <c r="AX217" s="108"/>
      <c r="AY217" s="109">
        <v>-15</v>
      </c>
      <c r="AZ217" s="2">
        <f t="shared" si="192"/>
        <v>152</v>
      </c>
      <c r="BA217" s="10"/>
      <c r="BB217" s="13">
        <f t="shared" si="193"/>
        <v>32</v>
      </c>
      <c r="BC217" s="10"/>
      <c r="BD217" s="14">
        <f t="shared" si="199"/>
        <v>110</v>
      </c>
      <c r="BE217" s="14">
        <f t="shared" si="200"/>
        <v>117</v>
      </c>
      <c r="BF217" s="2">
        <f t="shared" si="194"/>
        <v>227</v>
      </c>
      <c r="BG217" s="2">
        <f t="shared" si="195"/>
        <v>195</v>
      </c>
    </row>
    <row r="218" spans="1:59" x14ac:dyDescent="0.3">
      <c r="A218" s="9" t="s">
        <v>31</v>
      </c>
      <c r="B218" s="314"/>
      <c r="C218" s="99">
        <f>ROUND(Load!$I$43+'2022'!$E$231*0.485/720,0)</f>
        <v>86</v>
      </c>
      <c r="D218" s="2">
        <f t="shared" si="187"/>
        <v>86</v>
      </c>
      <c r="E218" s="9" t="s">
        <v>31</v>
      </c>
      <c r="F218" s="2">
        <f>'Hoover with 30 MW Solar'!$G$39</f>
        <v>32</v>
      </c>
      <c r="G218" s="2">
        <v>35</v>
      </c>
      <c r="H218" s="2"/>
      <c r="I218" s="77">
        <v>75</v>
      </c>
      <c r="J218" s="78"/>
      <c r="K218" s="78"/>
      <c r="L218" s="108"/>
      <c r="M218" s="108"/>
      <c r="N218" s="108"/>
      <c r="O218" s="108"/>
      <c r="P218" s="108"/>
      <c r="Q218" s="108"/>
      <c r="R218" s="108"/>
      <c r="S218" s="108"/>
      <c r="T218" s="108"/>
      <c r="U218" s="109">
        <v>-15</v>
      </c>
      <c r="V218" s="2">
        <f t="shared" si="188"/>
        <v>127</v>
      </c>
      <c r="W218" s="10"/>
      <c r="X218" s="13">
        <f t="shared" si="189"/>
        <v>-41</v>
      </c>
      <c r="Y218" s="10"/>
      <c r="Z218" s="14">
        <f t="shared" si="196"/>
        <v>110</v>
      </c>
      <c r="AA218" s="14">
        <f t="shared" si="197"/>
        <v>142</v>
      </c>
      <c r="AB218" s="2">
        <f t="shared" si="198"/>
        <v>252</v>
      </c>
      <c r="AC218" s="2">
        <f t="shared" si="190"/>
        <v>293</v>
      </c>
      <c r="AE218" s="9" t="s">
        <v>31</v>
      </c>
      <c r="AF218" s="314">
        <v>98</v>
      </c>
      <c r="AG218" s="99">
        <f>ROUND(Load!$I$43+'2022'!$E$231*0.485/720,0)</f>
        <v>86</v>
      </c>
      <c r="AH218" s="2">
        <f t="shared" si="191"/>
        <v>184</v>
      </c>
      <c r="AI218" s="9" t="s">
        <v>31</v>
      </c>
      <c r="AJ218" s="2">
        <f>'Hoover with 30 MW Solar'!$G$39</f>
        <v>32</v>
      </c>
      <c r="AK218" s="2">
        <v>35</v>
      </c>
      <c r="AL218" s="2"/>
      <c r="AM218" s="77"/>
      <c r="AN218" s="78">
        <v>100</v>
      </c>
      <c r="AO218" s="78"/>
      <c r="AP218" s="108"/>
      <c r="AQ218" s="108"/>
      <c r="AR218" s="108"/>
      <c r="AS218" s="108"/>
      <c r="AT218" s="108"/>
      <c r="AU218" s="108"/>
      <c r="AV218" s="108"/>
      <c r="AW218" s="108"/>
      <c r="AX218" s="108"/>
      <c r="AY218" s="109">
        <v>-15</v>
      </c>
      <c r="AZ218" s="2">
        <f t="shared" si="192"/>
        <v>152</v>
      </c>
      <c r="BA218" s="10"/>
      <c r="BB218" s="13">
        <f t="shared" si="193"/>
        <v>32</v>
      </c>
      <c r="BC218" s="10"/>
      <c r="BD218" s="14">
        <f t="shared" si="199"/>
        <v>110</v>
      </c>
      <c r="BE218" s="14">
        <f t="shared" si="200"/>
        <v>117</v>
      </c>
      <c r="BF218" s="2">
        <f t="shared" si="194"/>
        <v>227</v>
      </c>
      <c r="BG218" s="2">
        <f t="shared" si="195"/>
        <v>195</v>
      </c>
    </row>
    <row r="219" spans="1:59" x14ac:dyDescent="0.3">
      <c r="A219" s="9" t="s">
        <v>32</v>
      </c>
      <c r="B219" s="314"/>
      <c r="C219" s="99">
        <f>ROUND(Load!$I$43+'2022'!$E$231*0.485/720,0)</f>
        <v>86</v>
      </c>
      <c r="D219" s="2">
        <f t="shared" si="187"/>
        <v>86</v>
      </c>
      <c r="E219" s="9" t="s">
        <v>32</v>
      </c>
      <c r="F219" s="2">
        <f>'Hoover with 30 MW Solar'!$G$39</f>
        <v>32</v>
      </c>
      <c r="G219" s="2">
        <v>35</v>
      </c>
      <c r="H219" s="2"/>
      <c r="I219" s="77">
        <v>75</v>
      </c>
      <c r="J219" s="78"/>
      <c r="K219" s="78"/>
      <c r="L219" s="108"/>
      <c r="M219" s="108"/>
      <c r="N219" s="108"/>
      <c r="O219" s="108"/>
      <c r="P219" s="108"/>
      <c r="Q219" s="108"/>
      <c r="R219" s="108"/>
      <c r="S219" s="108"/>
      <c r="T219" s="108"/>
      <c r="U219" s="109">
        <v>-15</v>
      </c>
      <c r="V219" s="2">
        <f t="shared" si="188"/>
        <v>127</v>
      </c>
      <c r="W219" s="10"/>
      <c r="X219" s="13">
        <f t="shared" si="189"/>
        <v>-41</v>
      </c>
      <c r="Y219" s="10"/>
      <c r="Z219" s="14">
        <f t="shared" si="196"/>
        <v>110</v>
      </c>
      <c r="AA219" s="14">
        <f t="shared" si="197"/>
        <v>142</v>
      </c>
      <c r="AB219" s="2">
        <f t="shared" si="198"/>
        <v>252</v>
      </c>
      <c r="AC219" s="2">
        <f t="shared" si="190"/>
        <v>293</v>
      </c>
      <c r="AE219" s="9" t="s">
        <v>32</v>
      </c>
      <c r="AF219" s="314">
        <v>98</v>
      </c>
      <c r="AG219" s="99">
        <f>ROUND(Load!$I$43+'2022'!$E$231*0.485/720,0)</f>
        <v>86</v>
      </c>
      <c r="AH219" s="2">
        <f t="shared" si="191"/>
        <v>184</v>
      </c>
      <c r="AI219" s="9" t="s">
        <v>32</v>
      </c>
      <c r="AJ219" s="2">
        <f>'Hoover with 30 MW Solar'!$G$39</f>
        <v>32</v>
      </c>
      <c r="AK219" s="2">
        <v>35</v>
      </c>
      <c r="AL219" s="2"/>
      <c r="AM219" s="77"/>
      <c r="AN219" s="78">
        <v>100</v>
      </c>
      <c r="AO219" s="78"/>
      <c r="AP219" s="108"/>
      <c r="AQ219" s="108"/>
      <c r="AR219" s="108"/>
      <c r="AS219" s="108"/>
      <c r="AT219" s="108"/>
      <c r="AU219" s="108"/>
      <c r="AV219" s="108"/>
      <c r="AW219" s="108"/>
      <c r="AX219" s="108"/>
      <c r="AY219" s="109">
        <v>-15</v>
      </c>
      <c r="AZ219" s="2">
        <f t="shared" si="192"/>
        <v>152</v>
      </c>
      <c r="BA219" s="10"/>
      <c r="BB219" s="13">
        <f t="shared" si="193"/>
        <v>32</v>
      </c>
      <c r="BC219" s="10"/>
      <c r="BD219" s="14">
        <f t="shared" si="199"/>
        <v>110</v>
      </c>
      <c r="BE219" s="14">
        <f t="shared" si="200"/>
        <v>117</v>
      </c>
      <c r="BF219" s="2">
        <f t="shared" si="194"/>
        <v>227</v>
      </c>
      <c r="BG219" s="2">
        <f t="shared" si="195"/>
        <v>195</v>
      </c>
    </row>
    <row r="220" spans="1:59" x14ac:dyDescent="0.3">
      <c r="A220" s="9" t="s">
        <v>33</v>
      </c>
      <c r="B220" s="2"/>
      <c r="C220" s="99">
        <f>ROUND(Load!$I$43+'2022'!$E$231*0.485/720,0)</f>
        <v>86</v>
      </c>
      <c r="D220" s="2">
        <f t="shared" si="187"/>
        <v>86</v>
      </c>
      <c r="E220" s="9" t="s">
        <v>33</v>
      </c>
      <c r="F220" s="2">
        <f>'Hoover with 30 MW Solar'!$G$39</f>
        <v>32</v>
      </c>
      <c r="G220" s="2">
        <v>35</v>
      </c>
      <c r="H220" s="2"/>
      <c r="I220" s="77">
        <v>75</v>
      </c>
      <c r="J220" s="78"/>
      <c r="K220" s="78"/>
      <c r="L220" s="108"/>
      <c r="M220" s="108"/>
      <c r="N220" s="108"/>
      <c r="O220" s="108"/>
      <c r="P220" s="108"/>
      <c r="Q220" s="108"/>
      <c r="R220" s="108"/>
      <c r="S220" s="108">
        <v>-25</v>
      </c>
      <c r="T220" s="108"/>
      <c r="U220" s="109">
        <v>-15</v>
      </c>
      <c r="V220" s="2">
        <f t="shared" si="188"/>
        <v>102</v>
      </c>
      <c r="W220" s="10"/>
      <c r="X220" s="13">
        <f t="shared" si="189"/>
        <v>-16</v>
      </c>
      <c r="Y220" s="10"/>
      <c r="Z220" s="14">
        <f t="shared" si="196"/>
        <v>110</v>
      </c>
      <c r="AA220" s="14">
        <f t="shared" si="197"/>
        <v>142</v>
      </c>
      <c r="AB220" s="2">
        <f t="shared" si="198"/>
        <v>252</v>
      </c>
      <c r="AC220" s="2">
        <f t="shared" si="190"/>
        <v>268</v>
      </c>
      <c r="AE220" s="9" t="s">
        <v>33</v>
      </c>
      <c r="AF220" s="314">
        <v>49</v>
      </c>
      <c r="AG220" s="99">
        <f>ROUND(Load!$I$43+'2022'!$E$231*0.485/720,0)</f>
        <v>86</v>
      </c>
      <c r="AH220" s="2">
        <f t="shared" si="191"/>
        <v>135</v>
      </c>
      <c r="AI220" s="9" t="s">
        <v>33</v>
      </c>
      <c r="AJ220" s="2">
        <f>'Hoover with 30 MW Solar'!$G$39</f>
        <v>32</v>
      </c>
      <c r="AK220" s="2">
        <v>35</v>
      </c>
      <c r="AL220" s="2"/>
      <c r="AM220" s="77"/>
      <c r="AN220" s="78">
        <v>100</v>
      </c>
      <c r="AO220" s="78"/>
      <c r="AP220" s="108"/>
      <c r="AQ220" s="108"/>
      <c r="AR220" s="108"/>
      <c r="AS220" s="108"/>
      <c r="AT220" s="108"/>
      <c r="AU220" s="108"/>
      <c r="AV220" s="108"/>
      <c r="AW220" s="108"/>
      <c r="AX220" s="108"/>
      <c r="AY220" s="109">
        <v>-15</v>
      </c>
      <c r="AZ220" s="2">
        <f t="shared" si="192"/>
        <v>152</v>
      </c>
      <c r="BA220" s="10"/>
      <c r="BB220" s="13">
        <f t="shared" si="193"/>
        <v>-17</v>
      </c>
      <c r="BC220" s="10"/>
      <c r="BD220" s="14">
        <f t="shared" si="199"/>
        <v>110</v>
      </c>
      <c r="BE220" s="14">
        <f t="shared" si="200"/>
        <v>117</v>
      </c>
      <c r="BF220" s="2">
        <f t="shared" si="194"/>
        <v>227</v>
      </c>
      <c r="BG220" s="2">
        <f t="shared" si="195"/>
        <v>244</v>
      </c>
    </row>
    <row r="221" spans="1:59" x14ac:dyDescent="0.3">
      <c r="A221" s="9" t="s">
        <v>34</v>
      </c>
      <c r="B221" s="2"/>
      <c r="C221" s="99">
        <f>ROUND(Load!$I$43+'2022'!$E$231*0.485/720,0)</f>
        <v>86</v>
      </c>
      <c r="D221" s="2">
        <f t="shared" si="187"/>
        <v>86</v>
      </c>
      <c r="E221" s="9" t="s">
        <v>34</v>
      </c>
      <c r="F221" s="2">
        <f>'Hoover with 30 MW Solar'!$G$39</f>
        <v>32</v>
      </c>
      <c r="G221" s="2">
        <v>35</v>
      </c>
      <c r="H221" s="2">
        <v>69</v>
      </c>
      <c r="I221" s="77">
        <v>75</v>
      </c>
      <c r="J221" s="78"/>
      <c r="K221" s="78"/>
      <c r="L221" s="108"/>
      <c r="M221" s="108"/>
      <c r="N221" s="108"/>
      <c r="O221" s="108"/>
      <c r="P221" s="108"/>
      <c r="Q221" s="108"/>
      <c r="R221" s="108"/>
      <c r="S221" s="108">
        <v>-25</v>
      </c>
      <c r="T221" s="108"/>
      <c r="U221" s="109">
        <v>-15</v>
      </c>
      <c r="V221" s="2">
        <f t="shared" si="188"/>
        <v>171</v>
      </c>
      <c r="W221" s="10"/>
      <c r="X221" s="13">
        <f t="shared" si="189"/>
        <v>-85</v>
      </c>
      <c r="Y221" s="10"/>
      <c r="Z221" s="14">
        <f t="shared" si="196"/>
        <v>41</v>
      </c>
      <c r="AA221" s="14">
        <f t="shared" si="197"/>
        <v>142</v>
      </c>
      <c r="AB221" s="2">
        <f t="shared" si="198"/>
        <v>183</v>
      </c>
      <c r="AC221" s="2">
        <f t="shared" si="190"/>
        <v>268</v>
      </c>
      <c r="AE221" s="9" t="s">
        <v>34</v>
      </c>
      <c r="AF221" s="314"/>
      <c r="AG221" s="99">
        <f>ROUND(Load!$I$43+'2022'!$E$231*0.485/720,0)</f>
        <v>86</v>
      </c>
      <c r="AH221" s="2">
        <f t="shared" si="191"/>
        <v>86</v>
      </c>
      <c r="AI221" s="9" t="s">
        <v>34</v>
      </c>
      <c r="AJ221" s="2">
        <f>'Hoover with 30 MW Solar'!$G$39</f>
        <v>32</v>
      </c>
      <c r="AK221" s="2">
        <v>35</v>
      </c>
      <c r="AL221" s="2">
        <v>69</v>
      </c>
      <c r="AM221" s="77"/>
      <c r="AN221" s="78">
        <v>100</v>
      </c>
      <c r="AO221" s="78"/>
      <c r="AP221" s="108"/>
      <c r="AQ221" s="108"/>
      <c r="AR221" s="108"/>
      <c r="AS221" s="108"/>
      <c r="AT221" s="108"/>
      <c r="AU221" s="108"/>
      <c r="AV221" s="108"/>
      <c r="AW221" s="108"/>
      <c r="AX221" s="108"/>
      <c r="AY221" s="109">
        <v>-15</v>
      </c>
      <c r="AZ221" s="2">
        <f t="shared" si="192"/>
        <v>221</v>
      </c>
      <c r="BA221" s="10"/>
      <c r="BB221" s="13">
        <f t="shared" si="193"/>
        <v>-135</v>
      </c>
      <c r="BC221" s="10"/>
      <c r="BD221" s="14">
        <f t="shared" si="199"/>
        <v>41</v>
      </c>
      <c r="BE221" s="14">
        <f t="shared" si="200"/>
        <v>117</v>
      </c>
      <c r="BF221" s="2">
        <f t="shared" si="194"/>
        <v>158</v>
      </c>
      <c r="BG221" s="2">
        <f t="shared" si="195"/>
        <v>293</v>
      </c>
    </row>
    <row r="222" spans="1:59" x14ac:dyDescent="0.3">
      <c r="A222" s="9" t="s">
        <v>35</v>
      </c>
      <c r="B222" s="2"/>
      <c r="C222" s="99">
        <f>ROUND(Load!$I$43+'2022'!$E$231*0.485/720,0)</f>
        <v>86</v>
      </c>
      <c r="D222" s="2">
        <f t="shared" si="187"/>
        <v>86</v>
      </c>
      <c r="E222" s="9" t="s">
        <v>35</v>
      </c>
      <c r="F222" s="2">
        <f>'Hoover with 30 MW Solar'!$G$39</f>
        <v>32</v>
      </c>
      <c r="G222" s="2">
        <v>35</v>
      </c>
      <c r="H222" s="2">
        <v>69</v>
      </c>
      <c r="I222" s="77">
        <v>75</v>
      </c>
      <c r="J222" s="78"/>
      <c r="K222" s="78"/>
      <c r="L222" s="108"/>
      <c r="M222" s="108"/>
      <c r="N222" s="108"/>
      <c r="O222" s="108"/>
      <c r="P222" s="108"/>
      <c r="Q222" s="108"/>
      <c r="R222" s="108"/>
      <c r="S222" s="108">
        <v>-25</v>
      </c>
      <c r="T222" s="108"/>
      <c r="U222" s="109">
        <v>-15</v>
      </c>
      <c r="V222" s="2">
        <f t="shared" si="188"/>
        <v>171</v>
      </c>
      <c r="W222" s="10"/>
      <c r="X222" s="13">
        <f t="shared" si="189"/>
        <v>-85</v>
      </c>
      <c r="Y222" s="10"/>
      <c r="Z222" s="14">
        <f t="shared" si="196"/>
        <v>41</v>
      </c>
      <c r="AA222" s="14">
        <f t="shared" si="197"/>
        <v>142</v>
      </c>
      <c r="AB222" s="2">
        <f t="shared" si="198"/>
        <v>183</v>
      </c>
      <c r="AC222" s="2">
        <f t="shared" si="190"/>
        <v>268</v>
      </c>
      <c r="AE222" s="9" t="s">
        <v>35</v>
      </c>
      <c r="AF222" s="314"/>
      <c r="AG222" s="99">
        <f>ROUND(Load!$I$43+'2022'!$E$231*0.485/720,0)</f>
        <v>86</v>
      </c>
      <c r="AH222" s="2">
        <f t="shared" si="191"/>
        <v>86</v>
      </c>
      <c r="AI222" s="9" t="s">
        <v>35</v>
      </c>
      <c r="AJ222" s="2">
        <f>'Hoover with 30 MW Solar'!$G$39</f>
        <v>32</v>
      </c>
      <c r="AK222" s="2">
        <v>35</v>
      </c>
      <c r="AL222" s="2">
        <v>69</v>
      </c>
      <c r="AM222" s="77"/>
      <c r="AN222" s="78">
        <v>100</v>
      </c>
      <c r="AO222" s="78"/>
      <c r="AP222" s="108"/>
      <c r="AQ222" s="108"/>
      <c r="AR222" s="108"/>
      <c r="AS222" s="108"/>
      <c r="AT222" s="108"/>
      <c r="AU222" s="108"/>
      <c r="AV222" s="108"/>
      <c r="AW222" s="108"/>
      <c r="AX222" s="108"/>
      <c r="AY222" s="109">
        <v>-15</v>
      </c>
      <c r="AZ222" s="2">
        <f t="shared" si="192"/>
        <v>221</v>
      </c>
      <c r="BA222" s="10"/>
      <c r="BB222" s="13">
        <f t="shared" si="193"/>
        <v>-135</v>
      </c>
      <c r="BC222" s="10"/>
      <c r="BD222" s="14">
        <f t="shared" si="199"/>
        <v>41</v>
      </c>
      <c r="BE222" s="14">
        <f t="shared" si="200"/>
        <v>117</v>
      </c>
      <c r="BF222" s="2">
        <f t="shared" si="194"/>
        <v>158</v>
      </c>
      <c r="BG222" s="2">
        <f t="shared" si="195"/>
        <v>293</v>
      </c>
    </row>
    <row r="223" spans="1:59" x14ac:dyDescent="0.3">
      <c r="A223" s="9" t="s">
        <v>36</v>
      </c>
      <c r="B223" s="2"/>
      <c r="C223" s="99">
        <f>ROUND(Load!$I$43+'2022'!$E$231*0.485/720,0)</f>
        <v>86</v>
      </c>
      <c r="D223" s="2">
        <f t="shared" si="187"/>
        <v>86</v>
      </c>
      <c r="E223" s="9" t="s">
        <v>36</v>
      </c>
      <c r="F223" s="2">
        <f>'Hoover with 30 MW Solar'!$G$39</f>
        <v>32</v>
      </c>
      <c r="G223" s="2">
        <v>35</v>
      </c>
      <c r="H223" s="2">
        <v>69</v>
      </c>
      <c r="I223" s="77">
        <v>75</v>
      </c>
      <c r="J223" s="78"/>
      <c r="K223" s="78"/>
      <c r="L223" s="108"/>
      <c r="M223" s="108"/>
      <c r="N223" s="108"/>
      <c r="O223" s="108"/>
      <c r="P223" s="108"/>
      <c r="Q223" s="108"/>
      <c r="R223" s="108"/>
      <c r="S223" s="108">
        <v>-25</v>
      </c>
      <c r="T223" s="108"/>
      <c r="U223" s="109">
        <v>-15</v>
      </c>
      <c r="V223" s="2">
        <f t="shared" si="188"/>
        <v>171</v>
      </c>
      <c r="W223" s="10"/>
      <c r="X223" s="13">
        <f t="shared" si="189"/>
        <v>-85</v>
      </c>
      <c r="Y223" s="10"/>
      <c r="Z223" s="14">
        <f t="shared" si="196"/>
        <v>41</v>
      </c>
      <c r="AA223" s="14">
        <f t="shared" si="197"/>
        <v>142</v>
      </c>
      <c r="AB223" s="2">
        <f t="shared" si="198"/>
        <v>183</v>
      </c>
      <c r="AC223" s="2">
        <f t="shared" si="190"/>
        <v>268</v>
      </c>
      <c r="AE223" s="9" t="s">
        <v>36</v>
      </c>
      <c r="AF223" s="314"/>
      <c r="AG223" s="99">
        <f>ROUND(Load!$I$43+'2022'!$E$231*0.485/720,0)</f>
        <v>86</v>
      </c>
      <c r="AH223" s="2">
        <f t="shared" si="191"/>
        <v>86</v>
      </c>
      <c r="AI223" s="9" t="s">
        <v>36</v>
      </c>
      <c r="AJ223" s="2">
        <f>'Hoover with 30 MW Solar'!$G$39</f>
        <v>32</v>
      </c>
      <c r="AK223" s="2">
        <v>35</v>
      </c>
      <c r="AL223" s="2">
        <v>69</v>
      </c>
      <c r="AM223" s="77"/>
      <c r="AN223" s="78">
        <v>100</v>
      </c>
      <c r="AO223" s="78"/>
      <c r="AP223" s="108"/>
      <c r="AQ223" s="108"/>
      <c r="AR223" s="108"/>
      <c r="AS223" s="108"/>
      <c r="AT223" s="108"/>
      <c r="AU223" s="108"/>
      <c r="AV223" s="108"/>
      <c r="AW223" s="108"/>
      <c r="AX223" s="108"/>
      <c r="AY223" s="109">
        <v>-15</v>
      </c>
      <c r="AZ223" s="2">
        <f t="shared" si="192"/>
        <v>221</v>
      </c>
      <c r="BA223" s="10"/>
      <c r="BB223" s="13">
        <f t="shared" si="193"/>
        <v>-135</v>
      </c>
      <c r="BC223" s="10"/>
      <c r="BD223" s="14">
        <f t="shared" si="199"/>
        <v>41</v>
      </c>
      <c r="BE223" s="14">
        <f t="shared" si="200"/>
        <v>117</v>
      </c>
      <c r="BF223" s="2">
        <f t="shared" si="194"/>
        <v>158</v>
      </c>
      <c r="BG223" s="2">
        <f t="shared" si="195"/>
        <v>293</v>
      </c>
    </row>
    <row r="224" spans="1:59" x14ac:dyDescent="0.3">
      <c r="A224" s="9" t="s">
        <v>37</v>
      </c>
      <c r="B224" s="2"/>
      <c r="C224" s="99">
        <f>ROUND(Load!$I$43+'2022'!$E$231*0.485/720,0)</f>
        <v>86</v>
      </c>
      <c r="D224" s="2">
        <f t="shared" si="187"/>
        <v>86</v>
      </c>
      <c r="E224" s="9" t="s">
        <v>37</v>
      </c>
      <c r="F224" s="2">
        <f>'Hoover with 30 MW Solar'!$G$39</f>
        <v>32</v>
      </c>
      <c r="G224" s="2">
        <v>35</v>
      </c>
      <c r="H224" s="2">
        <v>70</v>
      </c>
      <c r="I224" s="77">
        <v>75</v>
      </c>
      <c r="J224" s="78"/>
      <c r="K224" s="78"/>
      <c r="L224" s="108"/>
      <c r="M224" s="108"/>
      <c r="N224" s="108"/>
      <c r="O224" s="108"/>
      <c r="P224" s="108"/>
      <c r="Q224" s="108"/>
      <c r="R224" s="108"/>
      <c r="S224" s="108">
        <v>-25</v>
      </c>
      <c r="T224" s="108"/>
      <c r="U224" s="109">
        <v>-15</v>
      </c>
      <c r="V224" s="2">
        <f t="shared" si="188"/>
        <v>172</v>
      </c>
      <c r="W224" s="10"/>
      <c r="X224" s="13">
        <f t="shared" si="189"/>
        <v>-86</v>
      </c>
      <c r="Y224" s="10"/>
      <c r="Z224" s="14">
        <f t="shared" si="196"/>
        <v>40</v>
      </c>
      <c r="AA224" s="14">
        <f t="shared" si="197"/>
        <v>142</v>
      </c>
      <c r="AB224" s="2">
        <f t="shared" si="198"/>
        <v>182</v>
      </c>
      <c r="AC224" s="2">
        <f t="shared" si="190"/>
        <v>268</v>
      </c>
      <c r="AE224" s="9" t="s">
        <v>37</v>
      </c>
      <c r="AF224" s="314"/>
      <c r="AG224" s="99">
        <f>ROUND(Load!$I$43+'2022'!$E$231*0.485/720,0)</f>
        <v>86</v>
      </c>
      <c r="AH224" s="2">
        <f t="shared" si="191"/>
        <v>86</v>
      </c>
      <c r="AI224" s="9" t="s">
        <v>37</v>
      </c>
      <c r="AJ224" s="2">
        <f>'Hoover with 30 MW Solar'!$G$39</f>
        <v>32</v>
      </c>
      <c r="AK224" s="2">
        <v>35</v>
      </c>
      <c r="AL224" s="2">
        <v>70</v>
      </c>
      <c r="AM224" s="77"/>
      <c r="AN224" s="78">
        <v>100</v>
      </c>
      <c r="AO224" s="78"/>
      <c r="AP224" s="108"/>
      <c r="AQ224" s="108"/>
      <c r="AR224" s="108"/>
      <c r="AS224" s="108"/>
      <c r="AT224" s="108"/>
      <c r="AU224" s="108"/>
      <c r="AV224" s="108"/>
      <c r="AW224" s="108"/>
      <c r="AX224" s="108"/>
      <c r="AY224" s="109">
        <v>-15</v>
      </c>
      <c r="AZ224" s="2">
        <f t="shared" si="192"/>
        <v>222</v>
      </c>
      <c r="BA224" s="10"/>
      <c r="BB224" s="13">
        <f t="shared" si="193"/>
        <v>-136</v>
      </c>
      <c r="BC224" s="10"/>
      <c r="BD224" s="14">
        <f t="shared" si="199"/>
        <v>40</v>
      </c>
      <c r="BE224" s="14">
        <f t="shared" si="200"/>
        <v>117</v>
      </c>
      <c r="BF224" s="2">
        <f t="shared" si="194"/>
        <v>157</v>
      </c>
      <c r="BG224" s="2">
        <f t="shared" si="195"/>
        <v>293</v>
      </c>
    </row>
    <row r="225" spans="1:59" x14ac:dyDescent="0.3">
      <c r="A225" s="9" t="s">
        <v>38</v>
      </c>
      <c r="B225" s="2"/>
      <c r="C225" s="99">
        <f>ROUND(Load!$I$43+'2022'!$E$231*0.485/720,0)</f>
        <v>86</v>
      </c>
      <c r="D225" s="2">
        <f t="shared" si="187"/>
        <v>86</v>
      </c>
      <c r="E225" s="9" t="s">
        <v>38</v>
      </c>
      <c r="F225" s="2">
        <f>'Hoover with 30 MW Solar'!$G$39</f>
        <v>32</v>
      </c>
      <c r="G225" s="2">
        <v>35</v>
      </c>
      <c r="H225" s="2">
        <v>69</v>
      </c>
      <c r="I225" s="77">
        <v>75</v>
      </c>
      <c r="J225" s="78"/>
      <c r="K225" s="78"/>
      <c r="L225" s="108"/>
      <c r="M225" s="108"/>
      <c r="N225" s="108"/>
      <c r="O225" s="108"/>
      <c r="P225" s="108"/>
      <c r="Q225" s="108"/>
      <c r="R225" s="108"/>
      <c r="S225" s="108">
        <v>-25</v>
      </c>
      <c r="T225" s="108"/>
      <c r="U225" s="109">
        <v>-15</v>
      </c>
      <c r="V225" s="2">
        <f t="shared" si="188"/>
        <v>171</v>
      </c>
      <c r="W225" s="10"/>
      <c r="X225" s="13">
        <f t="shared" si="189"/>
        <v>-85</v>
      </c>
      <c r="Y225" s="10"/>
      <c r="Z225" s="14">
        <f t="shared" si="196"/>
        <v>41</v>
      </c>
      <c r="AA225" s="14">
        <f t="shared" si="197"/>
        <v>142</v>
      </c>
      <c r="AB225" s="2">
        <f t="shared" si="198"/>
        <v>183</v>
      </c>
      <c r="AC225" s="2">
        <f t="shared" si="190"/>
        <v>268</v>
      </c>
      <c r="AE225" s="9" t="s">
        <v>38</v>
      </c>
      <c r="AF225" s="314"/>
      <c r="AG225" s="99">
        <f>ROUND(Load!$I$43+'2022'!$E$231*0.485/720,0)</f>
        <v>86</v>
      </c>
      <c r="AH225" s="2">
        <f t="shared" si="191"/>
        <v>86</v>
      </c>
      <c r="AI225" s="9" t="s">
        <v>38</v>
      </c>
      <c r="AJ225" s="2">
        <f>'Hoover with 30 MW Solar'!$G$39</f>
        <v>32</v>
      </c>
      <c r="AK225" s="2">
        <v>35</v>
      </c>
      <c r="AL225" s="2">
        <v>69</v>
      </c>
      <c r="AM225" s="77"/>
      <c r="AN225" s="78">
        <v>100</v>
      </c>
      <c r="AO225" s="78"/>
      <c r="AP225" s="108"/>
      <c r="AQ225" s="108"/>
      <c r="AR225" s="108"/>
      <c r="AS225" s="108"/>
      <c r="AT225" s="108"/>
      <c r="AU225" s="108"/>
      <c r="AV225" s="108"/>
      <c r="AW225" s="108"/>
      <c r="AX225" s="108"/>
      <c r="AY225" s="109">
        <v>-15</v>
      </c>
      <c r="AZ225" s="2">
        <f t="shared" si="192"/>
        <v>221</v>
      </c>
      <c r="BA225" s="10"/>
      <c r="BB225" s="13">
        <f t="shared" si="193"/>
        <v>-135</v>
      </c>
      <c r="BC225" s="10"/>
      <c r="BD225" s="14">
        <f t="shared" si="199"/>
        <v>41</v>
      </c>
      <c r="BE225" s="14">
        <f t="shared" si="200"/>
        <v>117</v>
      </c>
      <c r="BF225" s="2">
        <f t="shared" si="194"/>
        <v>158</v>
      </c>
      <c r="BG225" s="2">
        <f t="shared" si="195"/>
        <v>293</v>
      </c>
    </row>
    <row r="226" spans="1:59" x14ac:dyDescent="0.3">
      <c r="A226" s="9" t="s">
        <v>39</v>
      </c>
      <c r="B226" s="2"/>
      <c r="C226" s="99">
        <f>ROUND(Load!$I$43+'2022'!$E$231*0.485/720,0)</f>
        <v>86</v>
      </c>
      <c r="D226" s="2">
        <f t="shared" si="187"/>
        <v>86</v>
      </c>
      <c r="E226" s="9" t="s">
        <v>39</v>
      </c>
      <c r="F226" s="2">
        <f>'Hoover with 30 MW Solar'!$G$39</f>
        <v>32</v>
      </c>
      <c r="G226" s="2">
        <v>35</v>
      </c>
      <c r="H226" s="2">
        <v>69</v>
      </c>
      <c r="I226" s="77">
        <v>75</v>
      </c>
      <c r="J226" s="78"/>
      <c r="K226" s="78"/>
      <c r="L226" s="108"/>
      <c r="M226" s="108"/>
      <c r="N226" s="108"/>
      <c r="O226" s="108"/>
      <c r="P226" s="108"/>
      <c r="Q226" s="108"/>
      <c r="R226" s="108"/>
      <c r="S226" s="108">
        <v>-25</v>
      </c>
      <c r="T226" s="108"/>
      <c r="U226" s="109">
        <v>-15</v>
      </c>
      <c r="V226" s="2">
        <f t="shared" si="188"/>
        <v>171</v>
      </c>
      <c r="W226" s="10"/>
      <c r="X226" s="13">
        <f t="shared" si="189"/>
        <v>-85</v>
      </c>
      <c r="Y226" s="10"/>
      <c r="Z226" s="14">
        <f t="shared" si="196"/>
        <v>41</v>
      </c>
      <c r="AA226" s="14">
        <f t="shared" si="197"/>
        <v>142</v>
      </c>
      <c r="AB226" s="2">
        <f t="shared" si="198"/>
        <v>183</v>
      </c>
      <c r="AC226" s="2">
        <f t="shared" si="190"/>
        <v>268</v>
      </c>
      <c r="AE226" s="9" t="s">
        <v>39</v>
      </c>
      <c r="AF226" s="314"/>
      <c r="AG226" s="99">
        <f>ROUND(Load!$I$43+'2022'!$E$231*0.485/720,0)</f>
        <v>86</v>
      </c>
      <c r="AH226" s="2">
        <f t="shared" si="191"/>
        <v>86</v>
      </c>
      <c r="AI226" s="9" t="s">
        <v>39</v>
      </c>
      <c r="AJ226" s="2">
        <f>'Hoover with 30 MW Solar'!$G$39</f>
        <v>32</v>
      </c>
      <c r="AK226" s="2">
        <v>35</v>
      </c>
      <c r="AL226" s="2">
        <v>69</v>
      </c>
      <c r="AM226" s="77"/>
      <c r="AN226" s="78">
        <v>100</v>
      </c>
      <c r="AO226" s="78"/>
      <c r="AP226" s="108"/>
      <c r="AQ226" s="108"/>
      <c r="AR226" s="108"/>
      <c r="AS226" s="108"/>
      <c r="AT226" s="108"/>
      <c r="AU226" s="108"/>
      <c r="AV226" s="108"/>
      <c r="AW226" s="108"/>
      <c r="AX226" s="108"/>
      <c r="AY226" s="109">
        <v>-15</v>
      </c>
      <c r="AZ226" s="2">
        <f t="shared" si="192"/>
        <v>221</v>
      </c>
      <c r="BA226" s="10"/>
      <c r="BB226" s="13">
        <f t="shared" si="193"/>
        <v>-135</v>
      </c>
      <c r="BC226" s="10"/>
      <c r="BD226" s="14">
        <f t="shared" si="199"/>
        <v>41</v>
      </c>
      <c r="BE226" s="14">
        <f t="shared" si="200"/>
        <v>117</v>
      </c>
      <c r="BF226" s="2">
        <f t="shared" si="194"/>
        <v>158</v>
      </c>
      <c r="BG226" s="2">
        <f t="shared" si="195"/>
        <v>293</v>
      </c>
    </row>
    <row r="227" spans="1:59" x14ac:dyDescent="0.3">
      <c r="A227" s="9" t="s">
        <v>40</v>
      </c>
      <c r="B227" s="2"/>
      <c r="C227" s="99">
        <f>ROUND(Load!$I$43+'2022'!$E$231*0.485/720,0)</f>
        <v>86</v>
      </c>
      <c r="D227" s="2">
        <f t="shared" si="187"/>
        <v>86</v>
      </c>
      <c r="E227" s="9" t="s">
        <v>40</v>
      </c>
      <c r="F227" s="2">
        <f>'Hoover with 30 MW Solar'!$G$39</f>
        <v>32</v>
      </c>
      <c r="G227" s="2">
        <v>35</v>
      </c>
      <c r="H227" s="2">
        <v>69</v>
      </c>
      <c r="I227" s="77">
        <v>75</v>
      </c>
      <c r="J227" s="78"/>
      <c r="K227" s="78"/>
      <c r="L227" s="108"/>
      <c r="M227" s="108"/>
      <c r="N227" s="108"/>
      <c r="O227" s="108"/>
      <c r="P227" s="108"/>
      <c r="Q227" s="108"/>
      <c r="R227" s="108"/>
      <c r="S227" s="108">
        <v>-25</v>
      </c>
      <c r="T227" s="108"/>
      <c r="U227" s="109">
        <v>-15</v>
      </c>
      <c r="V227" s="2">
        <f t="shared" si="188"/>
        <v>171</v>
      </c>
      <c r="W227" s="10"/>
      <c r="X227" s="13">
        <f t="shared" si="189"/>
        <v>-85</v>
      </c>
      <c r="Y227" s="10"/>
      <c r="Z227" s="14">
        <f t="shared" si="196"/>
        <v>41</v>
      </c>
      <c r="AA227" s="14">
        <f t="shared" si="197"/>
        <v>142</v>
      </c>
      <c r="AB227" s="2">
        <f t="shared" si="198"/>
        <v>183</v>
      </c>
      <c r="AC227" s="2">
        <f t="shared" si="190"/>
        <v>268</v>
      </c>
      <c r="AE227" s="9" t="s">
        <v>40</v>
      </c>
      <c r="AF227" s="314"/>
      <c r="AG227" s="99">
        <f>ROUND(Load!$I$43+'2022'!$E$231*0.485/720,0)</f>
        <v>86</v>
      </c>
      <c r="AH227" s="2">
        <f t="shared" si="191"/>
        <v>86</v>
      </c>
      <c r="AI227" s="9" t="s">
        <v>40</v>
      </c>
      <c r="AJ227" s="2">
        <f>'Hoover with 30 MW Solar'!$G$39</f>
        <v>32</v>
      </c>
      <c r="AK227" s="2">
        <v>35</v>
      </c>
      <c r="AL227" s="2">
        <v>69</v>
      </c>
      <c r="AM227" s="77"/>
      <c r="AN227" s="78">
        <v>100</v>
      </c>
      <c r="AO227" s="78"/>
      <c r="AP227" s="108"/>
      <c r="AQ227" s="108"/>
      <c r="AR227" s="108"/>
      <c r="AS227" s="108"/>
      <c r="AT227" s="108"/>
      <c r="AU227" s="108"/>
      <c r="AV227" s="108"/>
      <c r="AW227" s="108"/>
      <c r="AX227" s="108"/>
      <c r="AY227" s="109">
        <v>-15</v>
      </c>
      <c r="AZ227" s="2">
        <f t="shared" si="192"/>
        <v>221</v>
      </c>
      <c r="BA227" s="10"/>
      <c r="BB227" s="13">
        <f t="shared" si="193"/>
        <v>-135</v>
      </c>
      <c r="BC227" s="10"/>
      <c r="BD227" s="14">
        <f t="shared" si="199"/>
        <v>41</v>
      </c>
      <c r="BE227" s="14">
        <f t="shared" si="200"/>
        <v>117</v>
      </c>
      <c r="BF227" s="2">
        <f t="shared" si="194"/>
        <v>158</v>
      </c>
      <c r="BG227" s="2">
        <f t="shared" si="195"/>
        <v>293</v>
      </c>
    </row>
    <row r="228" spans="1:59" x14ac:dyDescent="0.3">
      <c r="A228" s="9" t="s">
        <v>41</v>
      </c>
      <c r="B228" s="2">
        <v>146</v>
      </c>
      <c r="C228" s="99">
        <f>ROUND(Load!$I$43+'2022'!$E$231*0.485/720,0)</f>
        <v>86</v>
      </c>
      <c r="D228" s="2">
        <f t="shared" si="187"/>
        <v>232</v>
      </c>
      <c r="E228" s="9" t="s">
        <v>41</v>
      </c>
      <c r="F228" s="2"/>
      <c r="G228" s="2">
        <v>35</v>
      </c>
      <c r="H228" s="2"/>
      <c r="I228" s="77"/>
      <c r="J228" s="78">
        <v>100</v>
      </c>
      <c r="K228" s="78"/>
      <c r="L228" s="108"/>
      <c r="M228" s="108"/>
      <c r="N228" s="108"/>
      <c r="O228" s="108"/>
      <c r="P228" s="108"/>
      <c r="Q228" s="108"/>
      <c r="R228" s="108"/>
      <c r="S228" s="108"/>
      <c r="T228" s="108"/>
      <c r="U228" s="109"/>
      <c r="V228" s="2">
        <f t="shared" si="188"/>
        <v>135</v>
      </c>
      <c r="W228" s="10"/>
      <c r="X228" s="11">
        <f t="shared" si="189"/>
        <v>97</v>
      </c>
      <c r="Y228" s="10"/>
      <c r="Z228" s="12">
        <f t="shared" si="196"/>
        <v>142</v>
      </c>
      <c r="AA228" s="12">
        <f t="shared" si="197"/>
        <v>117</v>
      </c>
      <c r="AB228" s="2">
        <f t="shared" si="198"/>
        <v>259</v>
      </c>
      <c r="AC228" s="2">
        <f t="shared" si="190"/>
        <v>162</v>
      </c>
      <c r="AE228" s="9" t="s">
        <v>41</v>
      </c>
      <c r="AF228" s="2">
        <v>146</v>
      </c>
      <c r="AG228" s="99">
        <f>ROUND(Load!$I$43+'2022'!$E$231*0.485/720,0)</f>
        <v>86</v>
      </c>
      <c r="AH228" s="2">
        <f t="shared" si="191"/>
        <v>232</v>
      </c>
      <c r="AI228" s="9" t="s">
        <v>41</v>
      </c>
      <c r="AJ228" s="2"/>
      <c r="AK228" s="2">
        <v>35</v>
      </c>
      <c r="AL228" s="2"/>
      <c r="AM228" s="77"/>
      <c r="AN228" s="78">
        <v>100</v>
      </c>
      <c r="AO228" s="78"/>
      <c r="AP228" s="108"/>
      <c r="AQ228" s="108"/>
      <c r="AR228" s="108"/>
      <c r="AS228" s="108"/>
      <c r="AT228" s="108"/>
      <c r="AU228" s="108"/>
      <c r="AV228" s="108"/>
      <c r="AW228" s="108"/>
      <c r="AX228" s="108"/>
      <c r="AY228" s="109"/>
      <c r="AZ228" s="2">
        <f t="shared" si="192"/>
        <v>135</v>
      </c>
      <c r="BA228" s="10"/>
      <c r="BB228" s="11">
        <f t="shared" si="193"/>
        <v>97</v>
      </c>
      <c r="BC228" s="10"/>
      <c r="BD228" s="12">
        <f t="shared" si="199"/>
        <v>142</v>
      </c>
      <c r="BE228" s="12">
        <f t="shared" si="200"/>
        <v>117</v>
      </c>
      <c r="BF228" s="2">
        <f t="shared" si="194"/>
        <v>259</v>
      </c>
      <c r="BG228" s="2">
        <f t="shared" si="195"/>
        <v>162</v>
      </c>
    </row>
    <row r="229" spans="1:59" ht="15" thickBot="1" x14ac:dyDescent="0.35">
      <c r="A229" s="15" t="s">
        <v>42</v>
      </c>
      <c r="B229" s="16">
        <v>146</v>
      </c>
      <c r="C229" s="123">
        <f>ROUND(Load!$I$43+'2022'!$E$231*0.485/720,0)</f>
        <v>86</v>
      </c>
      <c r="D229" s="16">
        <f t="shared" si="187"/>
        <v>232</v>
      </c>
      <c r="E229" s="15" t="s">
        <v>42</v>
      </c>
      <c r="F229" s="16"/>
      <c r="G229" s="16">
        <v>35</v>
      </c>
      <c r="H229" s="16"/>
      <c r="I229" s="75"/>
      <c r="J229" s="76">
        <v>100</v>
      </c>
      <c r="K229" s="76"/>
      <c r="L229" s="106"/>
      <c r="M229" s="106"/>
      <c r="N229" s="106"/>
      <c r="O229" s="106"/>
      <c r="P229" s="106"/>
      <c r="Q229" s="106"/>
      <c r="R229" s="106"/>
      <c r="S229" s="106"/>
      <c r="T229" s="106"/>
      <c r="U229" s="107"/>
      <c r="V229" s="16">
        <f t="shared" si="188"/>
        <v>135</v>
      </c>
      <c r="W229" s="10"/>
      <c r="X229" s="17">
        <f t="shared" si="189"/>
        <v>97</v>
      </c>
      <c r="Y229" s="10"/>
      <c r="Z229" s="18">
        <f t="shared" si="196"/>
        <v>142</v>
      </c>
      <c r="AA229" s="18">
        <f t="shared" si="197"/>
        <v>117</v>
      </c>
      <c r="AB229" s="16">
        <f t="shared" si="198"/>
        <v>259</v>
      </c>
      <c r="AC229" s="16">
        <f t="shared" si="190"/>
        <v>162</v>
      </c>
      <c r="AE229" s="15" t="s">
        <v>42</v>
      </c>
      <c r="AF229" s="16">
        <v>146</v>
      </c>
      <c r="AG229" s="123">
        <f>ROUND(Load!$I$43+'2022'!$E$231*0.485/720,0)</f>
        <v>86</v>
      </c>
      <c r="AH229" s="16">
        <f t="shared" si="191"/>
        <v>232</v>
      </c>
      <c r="AI229" s="15" t="s">
        <v>42</v>
      </c>
      <c r="AJ229" s="16"/>
      <c r="AK229" s="16">
        <v>35</v>
      </c>
      <c r="AL229" s="16"/>
      <c r="AM229" s="75"/>
      <c r="AN229" s="76">
        <v>100</v>
      </c>
      <c r="AO229" s="76"/>
      <c r="AP229" s="106"/>
      <c r="AQ229" s="106"/>
      <c r="AR229" s="106"/>
      <c r="AS229" s="106"/>
      <c r="AT229" s="106"/>
      <c r="AU229" s="106"/>
      <c r="AV229" s="106"/>
      <c r="AW229" s="106"/>
      <c r="AX229" s="106"/>
      <c r="AY229" s="107"/>
      <c r="AZ229" s="16">
        <f t="shared" si="192"/>
        <v>135</v>
      </c>
      <c r="BA229" s="10"/>
      <c r="BB229" s="17">
        <f t="shared" si="193"/>
        <v>97</v>
      </c>
      <c r="BC229" s="10"/>
      <c r="BD229" s="18">
        <f t="shared" si="199"/>
        <v>142</v>
      </c>
      <c r="BE229" s="18">
        <f t="shared" si="200"/>
        <v>117</v>
      </c>
      <c r="BF229" s="16">
        <f t="shared" si="194"/>
        <v>259</v>
      </c>
      <c r="BG229" s="16">
        <f t="shared" si="195"/>
        <v>162</v>
      </c>
    </row>
    <row r="230" spans="1:59" ht="15" thickTop="1" x14ac:dyDescent="0.3">
      <c r="A230" s="2" t="s">
        <v>43</v>
      </c>
      <c r="B230" s="2">
        <f>SUM(B206:B229)</f>
        <v>1752</v>
      </c>
      <c r="C230" s="2">
        <f t="shared" ref="C230:D230" si="201">SUM(C206:C229)</f>
        <v>2064</v>
      </c>
      <c r="D230" s="2">
        <f t="shared" si="201"/>
        <v>3816</v>
      </c>
      <c r="E230" s="327" t="s">
        <v>406</v>
      </c>
      <c r="F230" s="2">
        <f t="shared" ref="F230:H230" si="202">SUM(F206:F229)</f>
        <v>512</v>
      </c>
      <c r="G230" s="2">
        <f t="shared" si="202"/>
        <v>840</v>
      </c>
      <c r="H230" s="2">
        <f t="shared" si="202"/>
        <v>484</v>
      </c>
      <c r="I230" s="2">
        <f>SUM(I206:I229)</f>
        <v>1200</v>
      </c>
      <c r="J230" s="2">
        <f>SUM(J206:J229)</f>
        <v>800</v>
      </c>
      <c r="K230" s="2">
        <f t="shared" ref="K230:U230" si="203">SUM(K206:K229)</f>
        <v>0</v>
      </c>
      <c r="L230" s="2">
        <f t="shared" si="203"/>
        <v>0</v>
      </c>
      <c r="M230" s="2">
        <f t="shared" si="203"/>
        <v>0</v>
      </c>
      <c r="N230" s="2">
        <f t="shared" si="203"/>
        <v>0</v>
      </c>
      <c r="O230" s="2">
        <f t="shared" ref="O230:P230" si="204">SUM(O206:O229)</f>
        <v>0</v>
      </c>
      <c r="P230" s="2">
        <f t="shared" si="204"/>
        <v>0</v>
      </c>
      <c r="Q230" s="2">
        <f t="shared" ref="Q230" si="205">SUM(Q206:Q229)</f>
        <v>0</v>
      </c>
      <c r="R230" s="2">
        <f t="shared" ref="R230" si="206">SUM(R206:R229)</f>
        <v>0</v>
      </c>
      <c r="S230" s="2">
        <f t="shared" ref="S230" si="207">SUM(S206:S229)</f>
        <v>-200</v>
      </c>
      <c r="T230" s="2">
        <f t="shared" ref="T230" si="208">SUM(T206:T229)</f>
        <v>0</v>
      </c>
      <c r="U230" s="2">
        <f t="shared" si="203"/>
        <v>-240</v>
      </c>
      <c r="V230" s="2">
        <f>SUM(V206:V229)</f>
        <v>3396</v>
      </c>
      <c r="W230" s="10"/>
      <c r="X230" s="2">
        <f t="shared" ref="X230" si="209">SUM(X206:X229)</f>
        <v>420</v>
      </c>
      <c r="Y230" s="10"/>
      <c r="Z230" s="19">
        <f>SUM(Z206:Z229)</f>
        <v>2412</v>
      </c>
      <c r="AA230" s="19">
        <f>SUM(AA206:AA229)</f>
        <v>3208</v>
      </c>
      <c r="AB230" s="19">
        <f t="shared" ref="AB230:AC230" si="210">SUM(AB206:AB229)</f>
        <v>5620</v>
      </c>
      <c r="AC230" s="19">
        <f t="shared" si="210"/>
        <v>5200</v>
      </c>
      <c r="AE230" s="2" t="s">
        <v>43</v>
      </c>
      <c r="AF230" s="2">
        <f>SUM(AF206:AF229)</f>
        <v>2001</v>
      </c>
      <c r="AG230" s="2">
        <f t="shared" ref="AG230:AH230" si="211">SUM(AG206:AG229)</f>
        <v>2064</v>
      </c>
      <c r="AH230" s="2">
        <f t="shared" si="211"/>
        <v>4065</v>
      </c>
      <c r="AI230" s="92"/>
      <c r="AJ230" s="2">
        <f t="shared" ref="AJ230:AL230" si="212">SUM(AJ206:AJ229)</f>
        <v>512</v>
      </c>
      <c r="AK230" s="2">
        <f t="shared" si="212"/>
        <v>840</v>
      </c>
      <c r="AL230" s="2">
        <f t="shared" si="212"/>
        <v>484</v>
      </c>
      <c r="AM230" s="2">
        <f>SUM(AM206:AM229)</f>
        <v>0</v>
      </c>
      <c r="AN230" s="2">
        <f t="shared" ref="AN230:AO230" si="213">SUM(AN206:AN229)</f>
        <v>2400</v>
      </c>
      <c r="AO230" s="2">
        <f t="shared" si="213"/>
        <v>0</v>
      </c>
      <c r="AP230" s="2">
        <f>SUM(AP206:AP229)</f>
        <v>0</v>
      </c>
      <c r="AQ230" s="2">
        <f t="shared" ref="AQ230:AY230" si="214">SUM(AQ206:AQ229)</f>
        <v>0</v>
      </c>
      <c r="AR230" s="2">
        <f t="shared" si="214"/>
        <v>0</v>
      </c>
      <c r="AS230" s="2">
        <f t="shared" si="214"/>
        <v>0</v>
      </c>
      <c r="AT230" s="2">
        <f t="shared" si="214"/>
        <v>0</v>
      </c>
      <c r="AU230" s="2">
        <f t="shared" si="214"/>
        <v>0</v>
      </c>
      <c r="AV230" s="2">
        <f t="shared" si="214"/>
        <v>0</v>
      </c>
      <c r="AW230" s="2">
        <f t="shared" si="214"/>
        <v>0</v>
      </c>
      <c r="AX230" s="2">
        <f t="shared" si="214"/>
        <v>0</v>
      </c>
      <c r="AY230" s="2">
        <f t="shared" si="214"/>
        <v>-240</v>
      </c>
      <c r="AZ230" s="2">
        <f>SUM(AZ206:AZ229)</f>
        <v>3996</v>
      </c>
      <c r="BA230" s="10"/>
      <c r="BB230" s="19">
        <f>SUM(BB206:BB229)</f>
        <v>69</v>
      </c>
      <c r="BC230" s="10"/>
      <c r="BD230" s="19">
        <f>SUM(BD206:BD229)</f>
        <v>2412</v>
      </c>
      <c r="BE230" s="19">
        <f>SUM(BE206:BE229)</f>
        <v>2808</v>
      </c>
      <c r="BF230" s="19">
        <f>SUM(BF206:BF229)</f>
        <v>5220</v>
      </c>
      <c r="BG230" s="19">
        <f>SUM(BG206:BG229)</f>
        <v>5151</v>
      </c>
    </row>
    <row r="231" spans="1:59" x14ac:dyDescent="0.3">
      <c r="A231" s="2" t="s">
        <v>44</v>
      </c>
      <c r="B231" s="2">
        <f>B230*(30-$AN203)</f>
        <v>45552</v>
      </c>
      <c r="C231" s="2">
        <f t="shared" ref="C231:D231" si="215">C230*(30-$AN203)</f>
        <v>53664</v>
      </c>
      <c r="D231" s="2">
        <f t="shared" si="215"/>
        <v>99216</v>
      </c>
      <c r="E231" s="328">
        <f>B231+AF231</f>
        <v>53556</v>
      </c>
      <c r="H231" s="124">
        <f>'Hoover with 30 MW Solar'!G44</f>
        <v>484.26920086666661</v>
      </c>
      <c r="I231" s="479" t="s">
        <v>470</v>
      </c>
      <c r="V231" s="2">
        <f>V230*30</f>
        <v>101880</v>
      </c>
      <c r="W231" s="35" t="s">
        <v>153</v>
      </c>
      <c r="X231" s="87">
        <f>-SUMIF(X206:X229,"&lt;0")</f>
        <v>776</v>
      </c>
      <c r="Y231" s="92">
        <f>X231*(30-AN203)</f>
        <v>20176</v>
      </c>
      <c r="Z231" s="92" t="s">
        <v>217</v>
      </c>
      <c r="AE231" s="2" t="s">
        <v>44</v>
      </c>
      <c r="AF231" s="2">
        <f>AF230*$AN203</f>
        <v>8004</v>
      </c>
      <c r="AG231" s="2">
        <f t="shared" ref="AG231:AH231" si="216">AG230*$AN203</f>
        <v>8256</v>
      </c>
      <c r="AH231" s="2">
        <f t="shared" si="216"/>
        <v>16260</v>
      </c>
      <c r="AI231" s="92"/>
      <c r="AJ231" s="92"/>
      <c r="AK231" s="92"/>
      <c r="AL231" s="124">
        <f>H231</f>
        <v>484.26920086666661</v>
      </c>
      <c r="AM231" s="2"/>
      <c r="AN231" s="2"/>
      <c r="AO231" s="2"/>
      <c r="AP231" s="2"/>
      <c r="AQ231" s="92"/>
      <c r="AR231" s="92"/>
      <c r="AS231" s="92"/>
      <c r="AT231" s="92"/>
      <c r="AU231" s="92"/>
      <c r="AV231" s="92"/>
      <c r="AW231" s="92"/>
      <c r="AX231" s="92"/>
      <c r="AY231" s="92"/>
      <c r="AZ231" s="2"/>
      <c r="BA231" s="35" t="s">
        <v>216</v>
      </c>
      <c r="BB231" s="87">
        <f>-SUMIF(BB206:BB229,"&lt;0")</f>
        <v>963</v>
      </c>
      <c r="BC231" s="92">
        <f>BB231*AN203</f>
        <v>3852</v>
      </c>
      <c r="BD231" s="92" t="s">
        <v>217</v>
      </c>
      <c r="BE231" s="92"/>
      <c r="BF231" s="92"/>
      <c r="BG231" s="92"/>
    </row>
    <row r="232" spans="1:59" x14ac:dyDescent="0.3">
      <c r="A232" s="2" t="s">
        <v>45</v>
      </c>
      <c r="B232" s="20">
        <f>ROUND(B230/48.5,0)</f>
        <v>36</v>
      </c>
      <c r="C232" s="294">
        <f>((B232*(30-AN203)+AF232*AN203)/30)</f>
        <v>36.666666666666664</v>
      </c>
      <c r="D232" s="294">
        <f>C232-Load!I35</f>
        <v>6.3467948717948701</v>
      </c>
      <c r="F232" s="21">
        <v>24.99</v>
      </c>
      <c r="G232" s="62">
        <f>D490</f>
        <v>42.021000000000001</v>
      </c>
      <c r="H232" s="98">
        <f>$F$479</f>
        <v>43.87</v>
      </c>
      <c r="I232" s="21">
        <v>25.15</v>
      </c>
      <c r="J232" s="21">
        <v>21.61</v>
      </c>
      <c r="K232" s="21"/>
      <c r="L232" s="313"/>
      <c r="M232" s="313"/>
      <c r="N232" s="313"/>
      <c r="O232" s="313"/>
      <c r="P232" s="313"/>
      <c r="Q232" s="313"/>
      <c r="R232" s="313"/>
      <c r="S232" s="21">
        <v>310</v>
      </c>
      <c r="T232" s="313"/>
      <c r="U232" s="21"/>
      <c r="X232" s="11">
        <f>SUM(X228:X229,X206:X211)</f>
        <v>776</v>
      </c>
      <c r="Y232" s="92">
        <f>Y231+BC231</f>
        <v>24028</v>
      </c>
      <c r="Z232" s="92" t="s">
        <v>236</v>
      </c>
      <c r="AA232" s="92"/>
      <c r="AE232" s="2" t="s">
        <v>45</v>
      </c>
      <c r="AF232" s="20">
        <f>ROUND(AF230/48.5,0)</f>
        <v>41</v>
      </c>
      <c r="AG232" s="92"/>
      <c r="AH232" s="92"/>
      <c r="AI232" s="92"/>
      <c r="AJ232" s="21"/>
      <c r="AK232" s="21"/>
      <c r="AL232" s="21"/>
      <c r="AM232" s="21">
        <v>25.15</v>
      </c>
      <c r="AN232" s="21">
        <v>21.61</v>
      </c>
      <c r="AO232" s="21"/>
      <c r="AP232" s="21"/>
      <c r="AQ232" s="21"/>
      <c r="AR232" s="313"/>
      <c r="AS232" s="313"/>
      <c r="AT232" s="313"/>
      <c r="AU232" s="313"/>
      <c r="AV232" s="313"/>
      <c r="AW232" s="313"/>
      <c r="AX232" s="313"/>
      <c r="AY232" s="21">
        <v>25.15</v>
      </c>
      <c r="AZ232" s="92"/>
      <c r="BA232" s="92"/>
      <c r="BB232" s="11">
        <f>SUM(BB228:BB229,BB206:BB211)</f>
        <v>776</v>
      </c>
      <c r="BC232" s="92"/>
      <c r="BD232" s="92"/>
      <c r="BE232" s="92"/>
      <c r="BF232" s="92"/>
      <c r="BG232" s="92"/>
    </row>
    <row r="233" spans="1:59" x14ac:dyDescent="0.3">
      <c r="A233" s="2" t="s">
        <v>62</v>
      </c>
      <c r="B233" s="2">
        <f>SUM(B212:B227)</f>
        <v>584</v>
      </c>
      <c r="C233" s="2">
        <f>SUM(C212:C227)</f>
        <v>1376</v>
      </c>
      <c r="F233" s="40">
        <f>'Hoover with 30 MW Solar'!G30</f>
        <v>10005.076025999999</v>
      </c>
      <c r="G233" s="40">
        <f>G230*30</f>
        <v>25200</v>
      </c>
      <c r="H233" s="40">
        <f>'Hoover with 30 MW Solar'!G31</f>
        <v>12683</v>
      </c>
      <c r="I233" s="40">
        <f>I230*(30-$AN203)</f>
        <v>31200</v>
      </c>
      <c r="J233" s="40">
        <f>J230*(30-$AN203)</f>
        <v>20800</v>
      </c>
      <c r="K233" s="40">
        <f>K230*(30-$AN203)</f>
        <v>0</v>
      </c>
      <c r="L233" s="40">
        <f t="shared" ref="L233:U233" si="217">L230*(30-$AN203)</f>
        <v>0</v>
      </c>
      <c r="M233" s="40">
        <f t="shared" si="217"/>
        <v>0</v>
      </c>
      <c r="N233" s="40">
        <f t="shared" si="217"/>
        <v>0</v>
      </c>
      <c r="O233" s="40">
        <f t="shared" si="217"/>
        <v>0</v>
      </c>
      <c r="P233" s="40">
        <f t="shared" si="217"/>
        <v>0</v>
      </c>
      <c r="Q233" s="40">
        <f t="shared" si="217"/>
        <v>0</v>
      </c>
      <c r="R233" s="40">
        <f t="shared" si="217"/>
        <v>0</v>
      </c>
      <c r="S233" s="40">
        <f t="shared" si="217"/>
        <v>-5200</v>
      </c>
      <c r="T233" s="40">
        <f t="shared" si="217"/>
        <v>0</v>
      </c>
      <c r="U233" s="40">
        <f t="shared" si="217"/>
        <v>-6240</v>
      </c>
      <c r="X233" s="13">
        <f>SUM(X212:X227)</f>
        <v>-356</v>
      </c>
      <c r="Y233">
        <f>-SUMIF(X220:X227,"&lt;0")*(30-AN203)</f>
        <v>15912</v>
      </c>
      <c r="Z233" t="s">
        <v>411</v>
      </c>
      <c r="AE233" s="2" t="s">
        <v>62</v>
      </c>
      <c r="AF233" s="2">
        <f>SUM(AF212:AF227)</f>
        <v>833</v>
      </c>
      <c r="AG233" s="2">
        <f>SUM(AG212:AG227)</f>
        <v>1376</v>
      </c>
      <c r="AH233" s="92"/>
      <c r="AI233" s="92"/>
      <c r="AJ233" s="22"/>
      <c r="AK233" s="22"/>
      <c r="AL233" s="22"/>
      <c r="AM233" s="22">
        <f>AM230*$AN203</f>
        <v>0</v>
      </c>
      <c r="AN233" s="22">
        <f t="shared" ref="AN233:AY233" si="218">AN230*$AN203</f>
        <v>9600</v>
      </c>
      <c r="AO233" s="22">
        <f t="shared" si="218"/>
        <v>0</v>
      </c>
      <c r="AP233" s="22">
        <f t="shared" si="218"/>
        <v>0</v>
      </c>
      <c r="AQ233" s="22">
        <f t="shared" si="218"/>
        <v>0</v>
      </c>
      <c r="AR233" s="22">
        <f t="shared" si="218"/>
        <v>0</v>
      </c>
      <c r="AS233" s="22">
        <f t="shared" si="218"/>
        <v>0</v>
      </c>
      <c r="AT233" s="22">
        <f t="shared" si="218"/>
        <v>0</v>
      </c>
      <c r="AU233" s="22">
        <f t="shared" si="218"/>
        <v>0</v>
      </c>
      <c r="AV233" s="22">
        <f t="shared" si="218"/>
        <v>0</v>
      </c>
      <c r="AW233" s="22">
        <f t="shared" si="218"/>
        <v>0</v>
      </c>
      <c r="AX233" s="22">
        <f t="shared" si="218"/>
        <v>0</v>
      </c>
      <c r="AY233" s="22">
        <f t="shared" si="218"/>
        <v>-960</v>
      </c>
      <c r="AZ233" s="92"/>
      <c r="BA233" s="92"/>
      <c r="BB233" s="13">
        <f>SUM(BB212:BB227)</f>
        <v>-707</v>
      </c>
      <c r="BC233" s="92"/>
      <c r="BD233" s="92"/>
      <c r="BE233" s="92"/>
      <c r="BF233" s="92"/>
      <c r="BG233" s="92"/>
    </row>
    <row r="234" spans="1:59" x14ac:dyDescent="0.3">
      <c r="A234" s="2" t="s">
        <v>63</v>
      </c>
      <c r="B234" s="2">
        <f>SUM(B228:B229,B206:B211)</f>
        <v>1168</v>
      </c>
      <c r="C234" s="2">
        <f>SUM(C228:C229,C206:C211)</f>
        <v>688</v>
      </c>
      <c r="D234" s="24"/>
      <c r="E234" s="24"/>
      <c r="F234" s="26">
        <f>F233*F232</f>
        <v>250026.84988973994</v>
      </c>
      <c r="G234" s="26">
        <f t="shared" ref="G234:J234" si="219">G233*G232</f>
        <v>1058929.2</v>
      </c>
      <c r="H234" s="26">
        <f t="shared" si="219"/>
        <v>556403.21</v>
      </c>
      <c r="I234" s="26">
        <f t="shared" si="219"/>
        <v>784680</v>
      </c>
      <c r="J234" s="26">
        <f t="shared" si="219"/>
        <v>449488</v>
      </c>
      <c r="K234" s="26">
        <f t="shared" ref="K234:U234" si="220">K233*K232</f>
        <v>0</v>
      </c>
      <c r="L234" s="26">
        <f t="shared" si="220"/>
        <v>0</v>
      </c>
      <c r="M234" s="26">
        <f t="shared" si="220"/>
        <v>0</v>
      </c>
      <c r="N234" s="26">
        <f t="shared" si="220"/>
        <v>0</v>
      </c>
      <c r="O234" s="26">
        <f t="shared" si="220"/>
        <v>0</v>
      </c>
      <c r="P234" s="26">
        <f t="shared" si="220"/>
        <v>0</v>
      </c>
      <c r="Q234" s="26">
        <f t="shared" si="220"/>
        <v>0</v>
      </c>
      <c r="R234" s="26">
        <f t="shared" si="220"/>
        <v>0</v>
      </c>
      <c r="S234" s="26">
        <f t="shared" si="220"/>
        <v>-1612000</v>
      </c>
      <c r="T234" s="26">
        <f t="shared" si="220"/>
        <v>0</v>
      </c>
      <c r="U234" s="26">
        <f t="shared" si="220"/>
        <v>0</v>
      </c>
      <c r="V234" s="24"/>
      <c r="W234" s="24"/>
      <c r="X234" s="24"/>
      <c r="Y234" s="313">
        <f>-SUMIF(BB220:BB227,"&lt;0")*AN203+Y233</f>
        <v>19764</v>
      </c>
      <c r="Z234" s="313" t="s">
        <v>412</v>
      </c>
      <c r="AA234" s="24"/>
      <c r="AB234" s="24"/>
      <c r="AC234" s="24"/>
      <c r="AE234" s="2" t="s">
        <v>63</v>
      </c>
      <c r="AF234" s="2">
        <f>SUM(AF228:AF229,AF206:AF211)</f>
        <v>1168</v>
      </c>
      <c r="AG234" s="2">
        <f>SUM(AG228:AG229,AG206:AG211)</f>
        <v>688</v>
      </c>
      <c r="AH234" s="24"/>
      <c r="AI234" s="24"/>
      <c r="AJ234" s="25"/>
      <c r="AK234" s="25"/>
      <c r="AL234" s="25"/>
      <c r="AM234" s="25">
        <f>AM233*AM232</f>
        <v>0</v>
      </c>
      <c r="AN234" s="25">
        <f t="shared" ref="AN234:AY234" si="221">AN233*AN232</f>
        <v>207456</v>
      </c>
      <c r="AO234" s="25">
        <f t="shared" si="221"/>
        <v>0</v>
      </c>
      <c r="AP234" s="25">
        <f t="shared" si="221"/>
        <v>0</v>
      </c>
      <c r="AQ234" s="25">
        <f t="shared" si="221"/>
        <v>0</v>
      </c>
      <c r="AR234" s="25">
        <f t="shared" si="221"/>
        <v>0</v>
      </c>
      <c r="AS234" s="25">
        <f t="shared" si="221"/>
        <v>0</v>
      </c>
      <c r="AT234" s="25">
        <f t="shared" si="221"/>
        <v>0</v>
      </c>
      <c r="AU234" s="25">
        <f t="shared" si="221"/>
        <v>0</v>
      </c>
      <c r="AV234" s="25">
        <f t="shared" si="221"/>
        <v>0</v>
      </c>
      <c r="AW234" s="25">
        <f t="shared" si="221"/>
        <v>0</v>
      </c>
      <c r="AX234" s="25">
        <f t="shared" si="221"/>
        <v>0</v>
      </c>
      <c r="AY234" s="25">
        <f t="shared" si="221"/>
        <v>-24144</v>
      </c>
      <c r="AZ234" s="24"/>
      <c r="BA234" s="24"/>
      <c r="BB234" s="24"/>
      <c r="BC234" s="24"/>
      <c r="BD234" s="24"/>
      <c r="BE234" s="24"/>
      <c r="BF234" s="24"/>
      <c r="BG234" s="24"/>
    </row>
    <row r="235" spans="1:59" x14ac:dyDescent="0.3">
      <c r="A235" s="23"/>
      <c r="B235" s="23"/>
      <c r="C235" s="35" t="s">
        <v>221</v>
      </c>
      <c r="D235" s="117">
        <f>D231+AH231</f>
        <v>115476</v>
      </c>
      <c r="E235" s="23"/>
      <c r="F235" s="24"/>
      <c r="G235" s="24"/>
      <c r="H235" s="24"/>
      <c r="I235" s="116" t="s">
        <v>222</v>
      </c>
      <c r="J235" s="25">
        <f>SUM(F234:T234)+SUM(AM234:AX234)</f>
        <v>1694983.2598897396</v>
      </c>
      <c r="K235" s="23"/>
      <c r="L235" s="92"/>
      <c r="M235" s="92"/>
      <c r="W235" s="23"/>
      <c r="X235" s="11">
        <f>X232*(30-AN203)</f>
        <v>20176</v>
      </c>
      <c r="Y235" s="23"/>
      <c r="Z235" s="23"/>
      <c r="AA235" s="23"/>
      <c r="AB235" s="23"/>
      <c r="AC235" s="23"/>
      <c r="AE235" s="23"/>
      <c r="AF235" s="23"/>
      <c r="AG235" s="23"/>
      <c r="AH235" s="23"/>
      <c r="AI235" s="23"/>
      <c r="AJ235" s="23"/>
      <c r="AK235" s="23"/>
      <c r="AL235" s="23"/>
      <c r="AM235" s="23"/>
      <c r="AN235" s="25"/>
      <c r="AO235" s="23"/>
      <c r="AP235" s="92"/>
      <c r="AQ235" s="92"/>
      <c r="AR235" s="92"/>
      <c r="AS235" s="92"/>
      <c r="AT235" s="92"/>
      <c r="AU235" s="92"/>
      <c r="AV235" s="92"/>
      <c r="AW235" s="92"/>
      <c r="AX235" s="92"/>
      <c r="AY235" s="92"/>
      <c r="AZ235" s="92"/>
      <c r="BA235" s="23"/>
      <c r="BB235" s="11">
        <f>BB232*AN203</f>
        <v>3104</v>
      </c>
      <c r="BC235" s="23"/>
      <c r="BD235" s="23"/>
      <c r="BE235" s="23"/>
      <c r="BF235" s="23"/>
      <c r="BG235" s="23"/>
    </row>
    <row r="236" spans="1:59" x14ac:dyDescent="0.3">
      <c r="C236" s="35" t="s">
        <v>131</v>
      </c>
      <c r="D236" s="36">
        <f>D231+AH231-Load!S13</f>
        <v>13711.338599839582</v>
      </c>
      <c r="F236" s="23"/>
      <c r="G236" s="23"/>
      <c r="H236" s="23"/>
      <c r="I236" s="23" t="s">
        <v>182</v>
      </c>
      <c r="J236" s="22">
        <f>SUM(F233:T233)+SUM(AM233:AX233)</f>
        <v>104288.076026</v>
      </c>
      <c r="K236" s="39">
        <f>J236/D235</f>
        <v>0.90311472536284587</v>
      </c>
      <c r="L236" s="92" t="s">
        <v>223</v>
      </c>
      <c r="M236" s="92"/>
      <c r="X236" s="13">
        <f>X233*(30-AN203)</f>
        <v>-9256</v>
      </c>
      <c r="AE236" s="92"/>
      <c r="AF236" s="92"/>
      <c r="AG236" s="35"/>
      <c r="AH236" s="36"/>
      <c r="AI236" s="92"/>
      <c r="AJ236" s="92"/>
      <c r="AK236" s="92"/>
      <c r="AL236" s="92"/>
      <c r="AM236" s="23"/>
      <c r="AN236" s="22"/>
      <c r="AO236" s="39"/>
      <c r="AP236" s="92"/>
      <c r="AQ236" s="92"/>
      <c r="AR236" s="92"/>
      <c r="AS236" s="92"/>
      <c r="AT236" s="92"/>
      <c r="AU236" s="92"/>
      <c r="AV236" s="92"/>
      <c r="AW236" s="92"/>
      <c r="AX236" s="92"/>
      <c r="AY236" s="92"/>
      <c r="AZ236" s="92"/>
      <c r="BA236" s="92"/>
      <c r="BB236" s="13">
        <f>BB233*AN203</f>
        <v>-2828</v>
      </c>
      <c r="BC236" s="92"/>
      <c r="BD236" s="92"/>
      <c r="BE236" s="92"/>
      <c r="BF236" s="92"/>
      <c r="BG236" s="92"/>
    </row>
    <row r="237" spans="1:59" ht="15" thickBot="1" x14ac:dyDescent="0.35">
      <c r="A237" s="313"/>
      <c r="B237" s="313"/>
      <c r="C237" s="35" t="s">
        <v>383</v>
      </c>
      <c r="D237" s="49">
        <f>C232*30*52</f>
        <v>57200</v>
      </c>
      <c r="I237" s="23" t="s">
        <v>47</v>
      </c>
      <c r="J237" s="21">
        <f>J235/J236</f>
        <v>16.252896059441774</v>
      </c>
      <c r="K237" s="39">
        <f>J236/$D231</f>
        <v>1.051121553237381</v>
      </c>
      <c r="L237" s="92"/>
      <c r="M237" s="92" t="s">
        <v>100</v>
      </c>
      <c r="X237" s="37">
        <f>SUM(X235:X236)+Y231+BB237</f>
        <v>35224</v>
      </c>
      <c r="Y237" t="s">
        <v>159</v>
      </c>
      <c r="AE237" s="23"/>
      <c r="AF237" s="92"/>
      <c r="AG237" s="92"/>
      <c r="AH237" s="92"/>
      <c r="AI237" s="92"/>
      <c r="AJ237" s="92"/>
      <c r="AK237" s="92"/>
      <c r="AL237" s="92"/>
      <c r="AM237" s="23"/>
      <c r="AN237" s="21"/>
      <c r="AO237" s="92"/>
      <c r="AP237" s="92"/>
      <c r="AQ237" s="92"/>
      <c r="AR237" s="92"/>
      <c r="AS237" s="92"/>
      <c r="AT237" s="92"/>
      <c r="AU237" s="92"/>
      <c r="AV237" s="92"/>
      <c r="AW237" s="92"/>
      <c r="AX237" s="92"/>
      <c r="AY237" s="92"/>
      <c r="AZ237" s="92"/>
      <c r="BA237" s="92"/>
      <c r="BB237" s="37">
        <f>SUM(BB235:BB236)+BC231</f>
        <v>4128</v>
      </c>
      <c r="BC237" s="92" t="s">
        <v>218</v>
      </c>
      <c r="BD237" s="92"/>
      <c r="BE237" s="92"/>
      <c r="BF237" s="92"/>
      <c r="BG237" s="92"/>
    </row>
    <row r="238" spans="1:59" x14ac:dyDescent="0.3">
      <c r="A238" s="313"/>
      <c r="B238" s="313"/>
      <c r="C238" s="35" t="s">
        <v>384</v>
      </c>
      <c r="D238" s="36">
        <f>D237-Load!I33</f>
        <v>9901</v>
      </c>
      <c r="I238" s="67" t="s">
        <v>181</v>
      </c>
      <c r="J238" s="68">
        <f>SUM(I233:R233)+SUM(AM233:AX233)</f>
        <v>61600</v>
      </c>
      <c r="L238" s="92" t="s">
        <v>233</v>
      </c>
      <c r="M238" s="31">
        <f>SUM(I233:M233)+SUM(AM233:AR233)</f>
        <v>61600</v>
      </c>
      <c r="X238" s="93">
        <f>(SUM(X235:X236)+Y231)*Y238+BB239</f>
        <v>1761200</v>
      </c>
      <c r="Y238" s="57">
        <v>50</v>
      </c>
      <c r="Z238" t="s">
        <v>160</v>
      </c>
      <c r="AE238" s="23"/>
      <c r="AF238" s="92"/>
      <c r="AG238" s="92"/>
      <c r="AH238" s="92"/>
      <c r="AI238" s="92"/>
      <c r="AJ238" s="92"/>
      <c r="AK238" s="92"/>
      <c r="AL238" s="92"/>
      <c r="AM238" s="92"/>
      <c r="AN238" s="92"/>
      <c r="AO238" s="92"/>
      <c r="AP238" s="92"/>
      <c r="AQ238" s="92"/>
      <c r="AR238" s="92"/>
      <c r="AS238" s="92"/>
      <c r="AT238" s="92"/>
      <c r="AU238" s="92"/>
      <c r="AV238" s="92"/>
      <c r="AW238" s="92"/>
      <c r="AX238" s="92"/>
      <c r="AY238" s="92"/>
      <c r="AZ238" s="92"/>
      <c r="BA238" s="92"/>
      <c r="BB238" s="93">
        <f>BB237*BC238</f>
        <v>206400</v>
      </c>
      <c r="BC238" s="93">
        <f>Y238</f>
        <v>50</v>
      </c>
      <c r="BD238" s="92" t="s">
        <v>160</v>
      </c>
      <c r="BE238" s="92"/>
      <c r="BF238" s="92"/>
      <c r="BG238" s="92"/>
    </row>
    <row r="239" spans="1:59" x14ac:dyDescent="0.3">
      <c r="I239" s="69" t="s">
        <v>18</v>
      </c>
      <c r="J239" s="70">
        <f>SUM(I234:R234)+SUM(AM234:AX234)</f>
        <v>1441624</v>
      </c>
      <c r="L239" s="92" t="s">
        <v>235</v>
      </c>
      <c r="M239" s="31">
        <f>SUM(O233:T233)+SUM(AS233:AX233)</f>
        <v>-5200</v>
      </c>
      <c r="X239" s="79">
        <f>X238+J239</f>
        <v>3202824</v>
      </c>
      <c r="Y239" t="s">
        <v>161</v>
      </c>
      <c r="AE239" s="23"/>
      <c r="AF239" s="92"/>
      <c r="AG239" s="92"/>
      <c r="AH239" s="92"/>
      <c r="AI239" s="92"/>
      <c r="AJ239" s="92"/>
      <c r="AK239" s="92"/>
      <c r="AL239" s="92"/>
      <c r="AM239" s="92"/>
      <c r="AN239" s="92"/>
      <c r="AO239" s="92"/>
      <c r="AP239" s="92"/>
      <c r="AQ239" s="92"/>
      <c r="AR239" s="92"/>
      <c r="AS239" s="92"/>
      <c r="AT239" s="92"/>
      <c r="AU239" s="92"/>
      <c r="AV239" s="92"/>
      <c r="AW239" s="92"/>
      <c r="AX239" s="92"/>
      <c r="AY239" s="92"/>
      <c r="AZ239" s="92"/>
      <c r="BA239" s="92"/>
      <c r="BB239" s="79">
        <f>BB238</f>
        <v>206400</v>
      </c>
      <c r="BC239" s="92" t="s">
        <v>219</v>
      </c>
      <c r="BD239" s="92"/>
      <c r="BE239" s="92"/>
      <c r="BF239" s="92"/>
      <c r="BG239" s="92"/>
    </row>
    <row r="240" spans="1:59" ht="15" thickBot="1" x14ac:dyDescent="0.35">
      <c r="I240" s="71" t="s">
        <v>156</v>
      </c>
      <c r="J240" s="72">
        <f>J239/J238</f>
        <v>23.402987012987012</v>
      </c>
      <c r="W240" s="38" t="s">
        <v>193</v>
      </c>
      <c r="X240" s="80">
        <f>J238+X237</f>
        <v>96824</v>
      </c>
      <c r="Y240" s="79">
        <f>X239/X240</f>
        <v>33.078823432206889</v>
      </c>
    </row>
    <row r="241" spans="1:59" x14ac:dyDescent="0.3">
      <c r="AA241" t="s">
        <v>462</v>
      </c>
      <c r="AE241" s="92"/>
      <c r="AF241" s="92"/>
      <c r="AG241" s="92"/>
      <c r="AH241" s="92"/>
      <c r="AI241" s="92"/>
      <c r="AJ241" s="92"/>
      <c r="AK241" s="92"/>
      <c r="AL241" s="92"/>
      <c r="AM241" s="92"/>
      <c r="AN241" s="115" t="s">
        <v>215</v>
      </c>
      <c r="AO241" s="92"/>
      <c r="AP241" s="92"/>
      <c r="AQ241" s="92"/>
      <c r="AR241" s="92"/>
      <c r="AS241" s="92"/>
      <c r="AT241" s="92"/>
      <c r="AU241" s="92"/>
      <c r="AV241" s="92"/>
      <c r="AW241" s="92"/>
      <c r="AX241" s="92"/>
      <c r="AY241" s="92"/>
      <c r="AZ241" s="92"/>
      <c r="BA241" s="92"/>
      <c r="BB241" s="92"/>
      <c r="BC241" s="92"/>
      <c r="BD241" s="92"/>
      <c r="BE241" s="92"/>
      <c r="BF241" s="92"/>
      <c r="BG241" s="92"/>
    </row>
    <row r="242" spans="1:59" ht="15" thickBot="1" x14ac:dyDescent="0.35">
      <c r="A242" s="2" t="s">
        <v>56</v>
      </c>
      <c r="F242" s="87"/>
      <c r="M242" s="307" t="s">
        <v>375</v>
      </c>
      <c r="N242" s="309" t="s">
        <v>375</v>
      </c>
      <c r="X242" s="91" t="s">
        <v>0</v>
      </c>
      <c r="Z242" s="481" t="s">
        <v>1</v>
      </c>
      <c r="AA242" s="483"/>
      <c r="AB242" s="482"/>
      <c r="AC242" s="1" t="s">
        <v>75</v>
      </c>
      <c r="AE242" s="2" t="s">
        <v>56</v>
      </c>
      <c r="AF242" s="92"/>
      <c r="AG242" s="92"/>
      <c r="AH242" s="92"/>
      <c r="AI242" s="92"/>
      <c r="AJ242" s="92"/>
      <c r="AK242" s="92"/>
      <c r="AL242" s="92"/>
      <c r="AM242" s="37" t="s">
        <v>214</v>
      </c>
      <c r="AN242" s="322">
        <v>6</v>
      </c>
      <c r="AO242" s="313"/>
      <c r="AP242" s="313"/>
      <c r="AQ242" s="313"/>
      <c r="AR242" s="313"/>
      <c r="AS242" s="313"/>
      <c r="AT242" s="313"/>
      <c r="AU242" s="313"/>
      <c r="AV242" s="313"/>
      <c r="AW242" s="313"/>
      <c r="AX242" s="313"/>
      <c r="AY242" s="313"/>
      <c r="AZ242" s="92"/>
      <c r="BA242" s="92"/>
      <c r="BB242" s="114" t="s">
        <v>0</v>
      </c>
      <c r="BC242" s="92"/>
      <c r="BD242" s="481" t="s">
        <v>1</v>
      </c>
      <c r="BE242" s="483"/>
      <c r="BF242" s="482"/>
      <c r="BG242" s="1" t="s">
        <v>75</v>
      </c>
    </row>
    <row r="243" spans="1:59" x14ac:dyDescent="0.3">
      <c r="F243" s="87" t="s">
        <v>415</v>
      </c>
      <c r="I243" s="73" t="s">
        <v>225</v>
      </c>
      <c r="J243" s="74" t="s">
        <v>50</v>
      </c>
      <c r="K243" s="74" t="s">
        <v>224</v>
      </c>
      <c r="L243" s="74"/>
      <c r="M243" s="74"/>
      <c r="N243" s="104"/>
      <c r="O243" s="104"/>
      <c r="P243" s="104"/>
      <c r="Q243" s="104"/>
      <c r="R243" s="104"/>
      <c r="S243" s="104" t="s">
        <v>460</v>
      </c>
      <c r="T243" s="104"/>
      <c r="U243" s="105" t="s">
        <v>238</v>
      </c>
      <c r="X243" s="3" t="s">
        <v>4</v>
      </c>
      <c r="Z243" s="3" t="s">
        <v>4</v>
      </c>
      <c r="AA243" s="4" t="s">
        <v>4</v>
      </c>
      <c r="AB243" s="5" t="s">
        <v>4</v>
      </c>
      <c r="AC243" s="5" t="s">
        <v>6</v>
      </c>
      <c r="AE243" s="92"/>
      <c r="AF243" s="92"/>
      <c r="AG243" s="92"/>
      <c r="AH243" s="92"/>
      <c r="AI243" s="92"/>
      <c r="AJ243" s="92"/>
      <c r="AK243" s="92"/>
      <c r="AL243" s="92"/>
      <c r="AM243" s="73" t="s">
        <v>225</v>
      </c>
      <c r="AN243" s="74" t="s">
        <v>50</v>
      </c>
      <c r="AO243" s="74" t="s">
        <v>224</v>
      </c>
      <c r="AP243" s="74"/>
      <c r="AQ243" s="74"/>
      <c r="AR243" s="74"/>
      <c r="AS243" s="104"/>
      <c r="AT243" s="104"/>
      <c r="AU243" s="104"/>
      <c r="AV243" s="104"/>
      <c r="AW243" s="104"/>
      <c r="AX243" s="104"/>
      <c r="AY243" s="105" t="s">
        <v>238</v>
      </c>
      <c r="AZ243" s="92"/>
      <c r="BA243" s="92"/>
      <c r="BB243" s="3" t="s">
        <v>4</v>
      </c>
      <c r="BC243" s="92"/>
      <c r="BD243" s="3" t="s">
        <v>4</v>
      </c>
      <c r="BE243" s="4" t="s">
        <v>4</v>
      </c>
      <c r="BF243" s="5" t="s">
        <v>4</v>
      </c>
      <c r="BG243" s="5" t="s">
        <v>6</v>
      </c>
    </row>
    <row r="244" spans="1:59" ht="15" thickBot="1" x14ac:dyDescent="0.35">
      <c r="A244" s="2" t="s">
        <v>7</v>
      </c>
      <c r="B244" s="2" t="s">
        <v>8</v>
      </c>
      <c r="C244" s="2" t="s">
        <v>9</v>
      </c>
      <c r="D244" s="2" t="s">
        <v>10</v>
      </c>
      <c r="E244" s="2" t="s">
        <v>7</v>
      </c>
      <c r="F244" s="2" t="s">
        <v>11</v>
      </c>
      <c r="G244" s="2" t="s">
        <v>12</v>
      </c>
      <c r="H244" s="2" t="s">
        <v>13</v>
      </c>
      <c r="I244" s="75" t="s">
        <v>15</v>
      </c>
      <c r="J244" s="76" t="s">
        <v>15</v>
      </c>
      <c r="K244" s="76" t="s">
        <v>15</v>
      </c>
      <c r="L244" s="76"/>
      <c r="M244" s="76"/>
      <c r="N244" s="106"/>
      <c r="O244" s="106"/>
      <c r="P244" s="106"/>
      <c r="Q244" s="106"/>
      <c r="R244" s="106"/>
      <c r="S244" s="106" t="s">
        <v>461</v>
      </c>
      <c r="T244" s="106"/>
      <c r="U244" s="107" t="s">
        <v>15</v>
      </c>
      <c r="V244" s="2" t="s">
        <v>16</v>
      </c>
      <c r="X244" s="6" t="s">
        <v>17</v>
      </c>
      <c r="Z244" s="6" t="s">
        <v>5</v>
      </c>
      <c r="AA244" s="7" t="s">
        <v>15</v>
      </c>
      <c r="AB244" s="8" t="s">
        <v>18</v>
      </c>
      <c r="AC244" s="8" t="s">
        <v>0</v>
      </c>
      <c r="AE244" s="2" t="s">
        <v>7</v>
      </c>
      <c r="AF244" s="2" t="s">
        <v>8</v>
      </c>
      <c r="AG244" s="2" t="s">
        <v>9</v>
      </c>
      <c r="AH244" s="2" t="s">
        <v>10</v>
      </c>
      <c r="AI244" s="2" t="s">
        <v>7</v>
      </c>
      <c r="AJ244" s="2" t="s">
        <v>11</v>
      </c>
      <c r="AK244" s="2" t="s">
        <v>12</v>
      </c>
      <c r="AL244" s="2" t="s">
        <v>13</v>
      </c>
      <c r="AM244" s="75" t="s">
        <v>15</v>
      </c>
      <c r="AN244" s="76" t="s">
        <v>15</v>
      </c>
      <c r="AO244" s="76" t="s">
        <v>15</v>
      </c>
      <c r="AP244" s="76"/>
      <c r="AQ244" s="76"/>
      <c r="AR244" s="76"/>
      <c r="AS244" s="106"/>
      <c r="AT244" s="106"/>
      <c r="AU244" s="106"/>
      <c r="AV244" s="106"/>
      <c r="AW244" s="106"/>
      <c r="AX244" s="106"/>
      <c r="AY244" s="107" t="s">
        <v>15</v>
      </c>
      <c r="AZ244" s="2" t="s">
        <v>16</v>
      </c>
      <c r="BA244" s="92"/>
      <c r="BB244" s="6" t="s">
        <v>17</v>
      </c>
      <c r="BC244" s="92"/>
      <c r="BD244" s="6" t="s">
        <v>5</v>
      </c>
      <c r="BE244" s="7" t="s">
        <v>15</v>
      </c>
      <c r="BF244" s="8" t="s">
        <v>18</v>
      </c>
      <c r="BG244" s="8" t="s">
        <v>0</v>
      </c>
    </row>
    <row r="245" spans="1:59" x14ac:dyDescent="0.3">
      <c r="A245" s="9" t="s">
        <v>19</v>
      </c>
      <c r="B245" s="99">
        <v>98</v>
      </c>
      <c r="C245" s="99">
        <f>ROUND(Load!$J$43+'2022'!$E$270*0.485/744,0)</f>
        <v>61</v>
      </c>
      <c r="D245" s="99">
        <f t="shared" ref="D245:D268" si="222">SUM(B245:C245)</f>
        <v>159</v>
      </c>
      <c r="E245" s="9" t="s">
        <v>19</v>
      </c>
      <c r="F245" s="2"/>
      <c r="G245" s="2">
        <v>35</v>
      </c>
      <c r="H245" s="2"/>
      <c r="I245" s="73"/>
      <c r="J245" s="74">
        <v>50</v>
      </c>
      <c r="K245" s="74">
        <v>50</v>
      </c>
      <c r="L245" s="74"/>
      <c r="M245" s="74"/>
      <c r="N245" s="104"/>
      <c r="O245" s="104"/>
      <c r="P245" s="104"/>
      <c r="Q245" s="104"/>
      <c r="R245" s="104"/>
      <c r="S245" s="104"/>
      <c r="T245" s="104"/>
      <c r="U245" s="105"/>
      <c r="V245" s="2">
        <f t="shared" ref="V245:V268" si="223">SUM(F245:U245)</f>
        <v>135</v>
      </c>
      <c r="W245" s="10"/>
      <c r="X245" s="11">
        <f t="shared" ref="X245:X268" si="224">D245-V245</f>
        <v>24</v>
      </c>
      <c r="Y245" s="10"/>
      <c r="Z245" s="12">
        <f t="shared" ref="Z245:Z268" si="225">142-F245-H245</f>
        <v>142</v>
      </c>
      <c r="AA245" s="12">
        <f>217-I245-J245-K245</f>
        <v>117</v>
      </c>
      <c r="AB245" s="2">
        <f t="shared" ref="AB245:AB268" si="226">Z245+AA245</f>
        <v>259</v>
      </c>
      <c r="AC245" s="2">
        <f t="shared" ref="AC245:AC268" si="227">Z245+AA245-X245</f>
        <v>235</v>
      </c>
      <c r="AE245" s="9" t="s">
        <v>19</v>
      </c>
      <c r="AF245" s="2">
        <v>98</v>
      </c>
      <c r="AG245" s="99">
        <f>ROUND(Load!$J$43+'2022'!$E$270*0.485/744,0)</f>
        <v>61</v>
      </c>
      <c r="AH245" s="2">
        <f t="shared" ref="AH245:AH268" si="228">SUM(AF245:AG245)</f>
        <v>159</v>
      </c>
      <c r="AI245" s="9" t="s">
        <v>19</v>
      </c>
      <c r="AJ245" s="2"/>
      <c r="AK245" s="2">
        <v>35</v>
      </c>
      <c r="AL245" s="2"/>
      <c r="AM245" s="73"/>
      <c r="AN245" s="74">
        <v>50</v>
      </c>
      <c r="AO245" s="74">
        <v>50</v>
      </c>
      <c r="AP245" s="74"/>
      <c r="AQ245" s="74"/>
      <c r="AR245" s="74"/>
      <c r="AS245" s="104"/>
      <c r="AT245" s="104"/>
      <c r="AU245" s="104"/>
      <c r="AV245" s="104"/>
      <c r="AW245" s="104"/>
      <c r="AX245" s="104"/>
      <c r="AY245" s="105"/>
      <c r="AZ245" s="2">
        <f t="shared" ref="AZ245:AZ268" si="229">SUM(AJ245:AY245)</f>
        <v>135</v>
      </c>
      <c r="BA245" s="10"/>
      <c r="BB245" s="11">
        <f t="shared" ref="BB245:BB268" si="230">AH245-AZ245</f>
        <v>24</v>
      </c>
      <c r="BC245" s="10"/>
      <c r="BD245" s="12">
        <f t="shared" ref="BD245:BD268" si="231">142-AJ245-AL245</f>
        <v>142</v>
      </c>
      <c r="BE245" s="12">
        <f>217-AM245-AN245-AO245</f>
        <v>117</v>
      </c>
      <c r="BF245" s="2">
        <f t="shared" ref="BF245:BF268" si="232">BD245+BE245</f>
        <v>259</v>
      </c>
      <c r="BG245" s="2">
        <f t="shared" ref="BG245:BG268" si="233">BD245+BE245-BB245</f>
        <v>235</v>
      </c>
    </row>
    <row r="246" spans="1:59" x14ac:dyDescent="0.3">
      <c r="A246" s="9" t="s">
        <v>20</v>
      </c>
      <c r="B246" s="99">
        <v>98</v>
      </c>
      <c r="C246" s="99">
        <f>ROUND(Load!$J$43+'2022'!$E$270*0.485/744,0)</f>
        <v>61</v>
      </c>
      <c r="D246" s="99">
        <f t="shared" si="222"/>
        <v>159</v>
      </c>
      <c r="E246" s="9" t="s">
        <v>20</v>
      </c>
      <c r="F246" s="2"/>
      <c r="G246" s="2">
        <v>35</v>
      </c>
      <c r="H246" s="2"/>
      <c r="I246" s="77"/>
      <c r="J246" s="78">
        <v>50</v>
      </c>
      <c r="K246" s="78">
        <v>50</v>
      </c>
      <c r="L246" s="78"/>
      <c r="M246" s="78"/>
      <c r="N246" s="108"/>
      <c r="O246" s="108"/>
      <c r="P246" s="108"/>
      <c r="Q246" s="108"/>
      <c r="R246" s="108"/>
      <c r="S246" s="108"/>
      <c r="T246" s="108"/>
      <c r="U246" s="109"/>
      <c r="V246" s="2">
        <f t="shared" si="223"/>
        <v>135</v>
      </c>
      <c r="W246" s="10"/>
      <c r="X246" s="11">
        <f t="shared" si="224"/>
        <v>24</v>
      </c>
      <c r="Y246" s="10"/>
      <c r="Z246" s="12">
        <f t="shared" si="225"/>
        <v>142</v>
      </c>
      <c r="AA246" s="12">
        <f t="shared" ref="AA246:AA268" si="234">217-I246-J246-K246</f>
        <v>117</v>
      </c>
      <c r="AB246" s="2">
        <f t="shared" si="226"/>
        <v>259</v>
      </c>
      <c r="AC246" s="2">
        <f t="shared" si="227"/>
        <v>235</v>
      </c>
      <c r="AE246" s="9" t="s">
        <v>20</v>
      </c>
      <c r="AF246" s="314">
        <v>98</v>
      </c>
      <c r="AG246" s="99">
        <f>ROUND(Load!$J$43+'2022'!$E$270*0.485/744,0)</f>
        <v>61</v>
      </c>
      <c r="AH246" s="2">
        <f t="shared" si="228"/>
        <v>159</v>
      </c>
      <c r="AI246" s="9" t="s">
        <v>20</v>
      </c>
      <c r="AJ246" s="2"/>
      <c r="AK246" s="2">
        <v>35</v>
      </c>
      <c r="AL246" s="2"/>
      <c r="AM246" s="77"/>
      <c r="AN246" s="78">
        <v>50</v>
      </c>
      <c r="AO246" s="78">
        <v>50</v>
      </c>
      <c r="AP246" s="78"/>
      <c r="AQ246" s="78"/>
      <c r="AR246" s="78"/>
      <c r="AS246" s="108"/>
      <c r="AT246" s="108"/>
      <c r="AU246" s="108"/>
      <c r="AV246" s="108"/>
      <c r="AW246" s="108"/>
      <c r="AX246" s="108"/>
      <c r="AY246" s="109"/>
      <c r="AZ246" s="2">
        <f t="shared" si="229"/>
        <v>135</v>
      </c>
      <c r="BA246" s="10"/>
      <c r="BB246" s="11">
        <f t="shared" si="230"/>
        <v>24</v>
      </c>
      <c r="BC246" s="10"/>
      <c r="BD246" s="12">
        <f t="shared" si="231"/>
        <v>142</v>
      </c>
      <c r="BE246" s="12">
        <f t="shared" ref="BE246:BE268" si="235">217-AM246-AN246-AO246</f>
        <v>117</v>
      </c>
      <c r="BF246" s="2">
        <f t="shared" si="232"/>
        <v>259</v>
      </c>
      <c r="BG246" s="2">
        <f t="shared" si="233"/>
        <v>235</v>
      </c>
    </row>
    <row r="247" spans="1:59" x14ac:dyDescent="0.3">
      <c r="A247" s="9" t="s">
        <v>21</v>
      </c>
      <c r="B247" s="99">
        <v>98</v>
      </c>
      <c r="C247" s="99">
        <f>ROUND(Load!$J$43+'2022'!$E$270*0.485/744,0)</f>
        <v>61</v>
      </c>
      <c r="D247" s="99">
        <f t="shared" si="222"/>
        <v>159</v>
      </c>
      <c r="E247" s="9" t="s">
        <v>21</v>
      </c>
      <c r="F247" s="2"/>
      <c r="G247" s="2">
        <v>35</v>
      </c>
      <c r="H247" s="2"/>
      <c r="I247" s="77"/>
      <c r="J247" s="78">
        <v>50</v>
      </c>
      <c r="K247" s="78">
        <v>50</v>
      </c>
      <c r="L247" s="78"/>
      <c r="M247" s="78"/>
      <c r="N247" s="108"/>
      <c r="O247" s="108"/>
      <c r="P247" s="108"/>
      <c r="Q247" s="108"/>
      <c r="R247" s="108"/>
      <c r="S247" s="108"/>
      <c r="T247" s="108"/>
      <c r="U247" s="109"/>
      <c r="V247" s="2">
        <f t="shared" si="223"/>
        <v>135</v>
      </c>
      <c r="W247" s="10"/>
      <c r="X247" s="11">
        <f t="shared" si="224"/>
        <v>24</v>
      </c>
      <c r="Y247" s="10"/>
      <c r="Z247" s="12">
        <f t="shared" si="225"/>
        <v>142</v>
      </c>
      <c r="AA247" s="12">
        <f t="shared" si="234"/>
        <v>117</v>
      </c>
      <c r="AB247" s="2">
        <f t="shared" si="226"/>
        <v>259</v>
      </c>
      <c r="AC247" s="2">
        <f t="shared" si="227"/>
        <v>235</v>
      </c>
      <c r="AE247" s="9" t="s">
        <v>21</v>
      </c>
      <c r="AF247" s="314">
        <v>98</v>
      </c>
      <c r="AG247" s="99">
        <f>ROUND(Load!$J$43+'2022'!$E$270*0.485/744,0)</f>
        <v>61</v>
      </c>
      <c r="AH247" s="2">
        <f t="shared" si="228"/>
        <v>159</v>
      </c>
      <c r="AI247" s="9" t="s">
        <v>21</v>
      </c>
      <c r="AJ247" s="2"/>
      <c r="AK247" s="2">
        <v>35</v>
      </c>
      <c r="AL247" s="2"/>
      <c r="AM247" s="77"/>
      <c r="AN247" s="78">
        <v>50</v>
      </c>
      <c r="AO247" s="78">
        <v>50</v>
      </c>
      <c r="AP247" s="78"/>
      <c r="AQ247" s="78"/>
      <c r="AR247" s="78"/>
      <c r="AS247" s="108"/>
      <c r="AT247" s="108"/>
      <c r="AU247" s="108"/>
      <c r="AV247" s="108"/>
      <c r="AW247" s="108"/>
      <c r="AX247" s="108"/>
      <c r="AY247" s="109"/>
      <c r="AZ247" s="2">
        <f t="shared" si="229"/>
        <v>135</v>
      </c>
      <c r="BA247" s="10"/>
      <c r="BB247" s="11">
        <f t="shared" si="230"/>
        <v>24</v>
      </c>
      <c r="BC247" s="10"/>
      <c r="BD247" s="12">
        <f t="shared" si="231"/>
        <v>142</v>
      </c>
      <c r="BE247" s="12">
        <f t="shared" si="235"/>
        <v>117</v>
      </c>
      <c r="BF247" s="2">
        <f t="shared" si="232"/>
        <v>259</v>
      </c>
      <c r="BG247" s="2">
        <f t="shared" si="233"/>
        <v>235</v>
      </c>
    </row>
    <row r="248" spans="1:59" x14ac:dyDescent="0.3">
      <c r="A248" s="9" t="s">
        <v>22</v>
      </c>
      <c r="B248" s="99">
        <v>98</v>
      </c>
      <c r="C248" s="99">
        <f>ROUND(Load!$J$43+'2022'!$E$270*0.485/744,0)</f>
        <v>61</v>
      </c>
      <c r="D248" s="99">
        <f t="shared" si="222"/>
        <v>159</v>
      </c>
      <c r="E248" s="9" t="s">
        <v>22</v>
      </c>
      <c r="F248" s="2"/>
      <c r="G248" s="2">
        <v>35</v>
      </c>
      <c r="H248" s="2"/>
      <c r="I248" s="77"/>
      <c r="J248" s="78">
        <v>50</v>
      </c>
      <c r="K248" s="78">
        <v>50</v>
      </c>
      <c r="L248" s="78"/>
      <c r="M248" s="78"/>
      <c r="N248" s="108"/>
      <c r="O248" s="108"/>
      <c r="P248" s="108"/>
      <c r="Q248" s="108"/>
      <c r="R248" s="108"/>
      <c r="S248" s="108"/>
      <c r="T248" s="108"/>
      <c r="U248" s="109"/>
      <c r="V248" s="2">
        <f t="shared" si="223"/>
        <v>135</v>
      </c>
      <c r="W248" s="10"/>
      <c r="X248" s="11">
        <f t="shared" si="224"/>
        <v>24</v>
      </c>
      <c r="Y248" s="10"/>
      <c r="Z248" s="12">
        <f t="shared" si="225"/>
        <v>142</v>
      </c>
      <c r="AA248" s="12">
        <f t="shared" si="234"/>
        <v>117</v>
      </c>
      <c r="AB248" s="2">
        <f t="shared" si="226"/>
        <v>259</v>
      </c>
      <c r="AC248" s="2">
        <f t="shared" si="227"/>
        <v>235</v>
      </c>
      <c r="AE248" s="9" t="s">
        <v>22</v>
      </c>
      <c r="AF248" s="314">
        <v>98</v>
      </c>
      <c r="AG248" s="99">
        <f>ROUND(Load!$J$43+'2022'!$E$270*0.485/744,0)</f>
        <v>61</v>
      </c>
      <c r="AH248" s="2">
        <f t="shared" si="228"/>
        <v>159</v>
      </c>
      <c r="AI248" s="9" t="s">
        <v>22</v>
      </c>
      <c r="AJ248" s="2"/>
      <c r="AK248" s="2">
        <v>35</v>
      </c>
      <c r="AL248" s="2"/>
      <c r="AM248" s="77"/>
      <c r="AN248" s="78">
        <v>50</v>
      </c>
      <c r="AO248" s="78">
        <v>50</v>
      </c>
      <c r="AP248" s="78"/>
      <c r="AQ248" s="78"/>
      <c r="AR248" s="78"/>
      <c r="AS248" s="108"/>
      <c r="AT248" s="108"/>
      <c r="AU248" s="108"/>
      <c r="AV248" s="108"/>
      <c r="AW248" s="108"/>
      <c r="AX248" s="108"/>
      <c r="AY248" s="109"/>
      <c r="AZ248" s="2">
        <f t="shared" si="229"/>
        <v>135</v>
      </c>
      <c r="BA248" s="10"/>
      <c r="BB248" s="11">
        <f t="shared" si="230"/>
        <v>24</v>
      </c>
      <c r="BC248" s="10"/>
      <c r="BD248" s="12">
        <f t="shared" si="231"/>
        <v>142</v>
      </c>
      <c r="BE248" s="12">
        <f t="shared" si="235"/>
        <v>117</v>
      </c>
      <c r="BF248" s="2">
        <f t="shared" si="232"/>
        <v>259</v>
      </c>
      <c r="BG248" s="2">
        <f t="shared" si="233"/>
        <v>235</v>
      </c>
    </row>
    <row r="249" spans="1:59" x14ac:dyDescent="0.3">
      <c r="A249" s="9" t="s">
        <v>23</v>
      </c>
      <c r="B249" s="99">
        <v>98</v>
      </c>
      <c r="C249" s="99">
        <f>ROUND(Load!$J$43+'2022'!$E$270*0.485/744,0)</f>
        <v>61</v>
      </c>
      <c r="D249" s="99">
        <f t="shared" si="222"/>
        <v>159</v>
      </c>
      <c r="E249" s="9" t="s">
        <v>23</v>
      </c>
      <c r="F249" s="2"/>
      <c r="G249" s="2">
        <v>35</v>
      </c>
      <c r="H249" s="2"/>
      <c r="I249" s="77"/>
      <c r="J249" s="78">
        <v>50</v>
      </c>
      <c r="K249" s="78">
        <v>50</v>
      </c>
      <c r="L249" s="78"/>
      <c r="M249" s="78"/>
      <c r="N249" s="108"/>
      <c r="O249" s="108"/>
      <c r="P249" s="108"/>
      <c r="Q249" s="108"/>
      <c r="R249" s="108"/>
      <c r="S249" s="108"/>
      <c r="T249" s="108"/>
      <c r="U249" s="109"/>
      <c r="V249" s="2">
        <f t="shared" si="223"/>
        <v>135</v>
      </c>
      <c r="W249" s="10"/>
      <c r="X249" s="11">
        <f t="shared" si="224"/>
        <v>24</v>
      </c>
      <c r="Y249" s="10"/>
      <c r="Z249" s="12">
        <f t="shared" si="225"/>
        <v>142</v>
      </c>
      <c r="AA249" s="12">
        <f t="shared" si="234"/>
        <v>117</v>
      </c>
      <c r="AB249" s="2">
        <f t="shared" si="226"/>
        <v>259</v>
      </c>
      <c r="AC249" s="2">
        <f t="shared" si="227"/>
        <v>235</v>
      </c>
      <c r="AE249" s="9" t="s">
        <v>23</v>
      </c>
      <c r="AF249" s="314">
        <v>98</v>
      </c>
      <c r="AG249" s="99">
        <f>ROUND(Load!$J$43+'2022'!$E$270*0.485/744,0)</f>
        <v>61</v>
      </c>
      <c r="AH249" s="2">
        <f t="shared" si="228"/>
        <v>159</v>
      </c>
      <c r="AI249" s="9" t="s">
        <v>23</v>
      </c>
      <c r="AJ249" s="2"/>
      <c r="AK249" s="2">
        <v>35</v>
      </c>
      <c r="AL249" s="2"/>
      <c r="AM249" s="77"/>
      <c r="AN249" s="78">
        <v>50</v>
      </c>
      <c r="AO249" s="78">
        <v>50</v>
      </c>
      <c r="AP249" s="78"/>
      <c r="AQ249" s="78"/>
      <c r="AR249" s="78"/>
      <c r="AS249" s="108"/>
      <c r="AT249" s="108"/>
      <c r="AU249" s="108"/>
      <c r="AV249" s="108"/>
      <c r="AW249" s="108"/>
      <c r="AX249" s="108"/>
      <c r="AY249" s="109"/>
      <c r="AZ249" s="2">
        <f t="shared" si="229"/>
        <v>135</v>
      </c>
      <c r="BA249" s="10"/>
      <c r="BB249" s="11">
        <f t="shared" si="230"/>
        <v>24</v>
      </c>
      <c r="BC249" s="10"/>
      <c r="BD249" s="12">
        <f>142-AJ249-AL249</f>
        <v>142</v>
      </c>
      <c r="BE249" s="12">
        <f t="shared" si="235"/>
        <v>117</v>
      </c>
      <c r="BF249" s="2">
        <f t="shared" si="232"/>
        <v>259</v>
      </c>
      <c r="BG249" s="2">
        <f t="shared" si="233"/>
        <v>235</v>
      </c>
    </row>
    <row r="250" spans="1:59" x14ac:dyDescent="0.3">
      <c r="A250" s="9" t="s">
        <v>24</v>
      </c>
      <c r="B250" s="99">
        <v>98</v>
      </c>
      <c r="C250" s="99">
        <f>ROUND(Load!$J$43+'2022'!$E$270*0.485/744,0)</f>
        <v>61</v>
      </c>
      <c r="D250" s="99">
        <f t="shared" si="222"/>
        <v>159</v>
      </c>
      <c r="E250" s="9" t="s">
        <v>24</v>
      </c>
      <c r="F250" s="2"/>
      <c r="G250" s="2">
        <v>35</v>
      </c>
      <c r="H250" s="2"/>
      <c r="I250" s="77"/>
      <c r="J250" s="78">
        <v>50</v>
      </c>
      <c r="K250" s="78">
        <v>50</v>
      </c>
      <c r="L250" s="78"/>
      <c r="M250" s="78"/>
      <c r="N250" s="108"/>
      <c r="O250" s="108"/>
      <c r="P250" s="108"/>
      <c r="Q250" s="108"/>
      <c r="R250" s="108"/>
      <c r="S250" s="108"/>
      <c r="T250" s="108"/>
      <c r="U250" s="109"/>
      <c r="V250" s="2">
        <f t="shared" si="223"/>
        <v>135</v>
      </c>
      <c r="W250" s="10"/>
      <c r="X250" s="11">
        <f t="shared" si="224"/>
        <v>24</v>
      </c>
      <c r="Y250" s="10"/>
      <c r="Z250" s="12">
        <f t="shared" si="225"/>
        <v>142</v>
      </c>
      <c r="AA250" s="12">
        <f t="shared" si="234"/>
        <v>117</v>
      </c>
      <c r="AB250" s="2">
        <f t="shared" si="226"/>
        <v>259</v>
      </c>
      <c r="AC250" s="2">
        <f t="shared" si="227"/>
        <v>235</v>
      </c>
      <c r="AE250" s="9" t="s">
        <v>24</v>
      </c>
      <c r="AF250" s="314">
        <v>98</v>
      </c>
      <c r="AG250" s="99">
        <f>ROUND(Load!$J$43+'2022'!$E$270*0.485/744,0)</f>
        <v>61</v>
      </c>
      <c r="AH250" s="2">
        <f t="shared" si="228"/>
        <v>159</v>
      </c>
      <c r="AI250" s="9" t="s">
        <v>24</v>
      </c>
      <c r="AJ250" s="2"/>
      <c r="AK250" s="2">
        <v>35</v>
      </c>
      <c r="AL250" s="2"/>
      <c r="AM250" s="77"/>
      <c r="AN250" s="78">
        <v>50</v>
      </c>
      <c r="AO250" s="78">
        <v>50</v>
      </c>
      <c r="AP250" s="78"/>
      <c r="AQ250" s="78"/>
      <c r="AR250" s="78"/>
      <c r="AS250" s="108"/>
      <c r="AT250" s="108"/>
      <c r="AU250" s="108"/>
      <c r="AV250" s="108"/>
      <c r="AW250" s="108"/>
      <c r="AX250" s="108"/>
      <c r="AY250" s="109"/>
      <c r="AZ250" s="2">
        <f t="shared" si="229"/>
        <v>135</v>
      </c>
      <c r="BA250" s="10"/>
      <c r="BB250" s="11">
        <f t="shared" si="230"/>
        <v>24</v>
      </c>
      <c r="BC250" s="10"/>
      <c r="BD250" s="12">
        <f t="shared" si="231"/>
        <v>142</v>
      </c>
      <c r="BE250" s="12">
        <f t="shared" si="235"/>
        <v>117</v>
      </c>
      <c r="BF250" s="2">
        <f t="shared" si="232"/>
        <v>259</v>
      </c>
      <c r="BG250" s="2">
        <f t="shared" si="233"/>
        <v>235</v>
      </c>
    </row>
    <row r="251" spans="1:59" x14ac:dyDescent="0.3">
      <c r="A251" s="9" t="s">
        <v>25</v>
      </c>
      <c r="B251" s="99"/>
      <c r="C251" s="99">
        <f>ROUND(Load!$J$43+'2022'!$E$270*0.485/744,0)</f>
        <v>61</v>
      </c>
      <c r="D251" s="99">
        <f t="shared" si="222"/>
        <v>61</v>
      </c>
      <c r="E251" s="9" t="s">
        <v>25</v>
      </c>
      <c r="F251" s="2">
        <f>'Hoover with 30 MW Solar'!$H$39</f>
        <v>30</v>
      </c>
      <c r="G251" s="2">
        <v>35</v>
      </c>
      <c r="H251" s="2"/>
      <c r="I251" s="77">
        <v>15</v>
      </c>
      <c r="J251" s="78"/>
      <c r="K251" s="78"/>
      <c r="L251" s="78"/>
      <c r="M251" s="78"/>
      <c r="N251" s="108"/>
      <c r="O251" s="108"/>
      <c r="P251" s="108"/>
      <c r="Q251" s="108"/>
      <c r="R251" s="108"/>
      <c r="S251" s="108"/>
      <c r="T251" s="108"/>
      <c r="U251" s="109">
        <v>-15</v>
      </c>
      <c r="V251" s="2">
        <f t="shared" si="223"/>
        <v>65</v>
      </c>
      <c r="W251" s="10"/>
      <c r="X251" s="13">
        <f t="shared" si="224"/>
        <v>-4</v>
      </c>
      <c r="Y251" s="10"/>
      <c r="Z251" s="14">
        <f t="shared" si="225"/>
        <v>112</v>
      </c>
      <c r="AA251" s="14">
        <f>217-I251-J251-K251-100</f>
        <v>102</v>
      </c>
      <c r="AB251" s="2">
        <f t="shared" si="226"/>
        <v>214</v>
      </c>
      <c r="AC251" s="2">
        <f t="shared" si="227"/>
        <v>218</v>
      </c>
      <c r="AE251" s="9" t="s">
        <v>25</v>
      </c>
      <c r="AF251" s="2"/>
      <c r="AG251" s="99">
        <f>ROUND(Load!$J$43+'2022'!$E$270*0.485/744,0)</f>
        <v>61</v>
      </c>
      <c r="AH251" s="2">
        <f t="shared" si="228"/>
        <v>61</v>
      </c>
      <c r="AI251" s="9" t="s">
        <v>25</v>
      </c>
      <c r="AJ251" s="2">
        <f>'Hoover with 30 MW Solar'!$H$39</f>
        <v>30</v>
      </c>
      <c r="AK251" s="2">
        <v>35</v>
      </c>
      <c r="AL251" s="2"/>
      <c r="AM251" s="77">
        <v>15</v>
      </c>
      <c r="AN251" s="78">
        <v>50</v>
      </c>
      <c r="AO251" s="78">
        <v>50</v>
      </c>
      <c r="AP251" s="78"/>
      <c r="AQ251" s="78"/>
      <c r="AR251" s="78"/>
      <c r="AS251" s="108"/>
      <c r="AT251" s="108"/>
      <c r="AU251" s="108"/>
      <c r="AV251" s="108"/>
      <c r="AW251" s="108"/>
      <c r="AX251" s="108"/>
      <c r="AY251" s="109">
        <v>-15</v>
      </c>
      <c r="AZ251" s="2">
        <f t="shared" si="229"/>
        <v>165</v>
      </c>
      <c r="BA251" s="10"/>
      <c r="BB251" s="13">
        <f t="shared" si="230"/>
        <v>-104</v>
      </c>
      <c r="BC251" s="10"/>
      <c r="BD251" s="14">
        <f t="shared" si="231"/>
        <v>112</v>
      </c>
      <c r="BE251" s="14">
        <f t="shared" si="235"/>
        <v>102</v>
      </c>
      <c r="BF251" s="2">
        <f t="shared" si="232"/>
        <v>214</v>
      </c>
      <c r="BG251" s="2">
        <f t="shared" si="233"/>
        <v>318</v>
      </c>
    </row>
    <row r="252" spans="1:59" x14ac:dyDescent="0.3">
      <c r="A252" s="9" t="s">
        <v>26</v>
      </c>
      <c r="B252" s="99"/>
      <c r="C252" s="99">
        <f>ROUND(Load!$J$43+'2022'!$E$270*0.485/744,0)</f>
        <v>61</v>
      </c>
      <c r="D252" s="99">
        <f t="shared" si="222"/>
        <v>61</v>
      </c>
      <c r="E252" s="9" t="s">
        <v>26</v>
      </c>
      <c r="F252" s="2">
        <f>'Hoover with 30 MW Solar'!$H$39</f>
        <v>30</v>
      </c>
      <c r="G252" s="2">
        <v>35</v>
      </c>
      <c r="H252" s="2"/>
      <c r="I252" s="77">
        <v>15</v>
      </c>
      <c r="J252" s="78"/>
      <c r="K252" s="78"/>
      <c r="L252" s="78"/>
      <c r="M252" s="78"/>
      <c r="N252" s="108"/>
      <c r="O252" s="108"/>
      <c r="P252" s="108"/>
      <c r="Q252" s="108"/>
      <c r="R252" s="108"/>
      <c r="S252" s="108"/>
      <c r="T252" s="108"/>
      <c r="U252" s="109">
        <v>-15</v>
      </c>
      <c r="V252" s="2">
        <f t="shared" si="223"/>
        <v>65</v>
      </c>
      <c r="W252" s="10"/>
      <c r="X252" s="13">
        <f t="shared" si="224"/>
        <v>-4</v>
      </c>
      <c r="Y252" s="10"/>
      <c r="Z252" s="14">
        <f t="shared" si="225"/>
        <v>112</v>
      </c>
      <c r="AA252" s="14">
        <f t="shared" ref="AA252:AA266" si="236">217-I252-J252-K252-100</f>
        <v>102</v>
      </c>
      <c r="AB252" s="2">
        <f t="shared" si="226"/>
        <v>214</v>
      </c>
      <c r="AC252" s="2">
        <f t="shared" si="227"/>
        <v>218</v>
      </c>
      <c r="AE252" s="9" t="s">
        <v>26</v>
      </c>
      <c r="AF252" s="314"/>
      <c r="AG252" s="99">
        <f>ROUND(Load!$J$43+'2022'!$E$270*0.485/744,0)</f>
        <v>61</v>
      </c>
      <c r="AH252" s="2">
        <f t="shared" si="228"/>
        <v>61</v>
      </c>
      <c r="AI252" s="9" t="s">
        <v>26</v>
      </c>
      <c r="AJ252" s="2">
        <f>'Hoover with 30 MW Solar'!$H$39</f>
        <v>30</v>
      </c>
      <c r="AK252" s="2">
        <v>35</v>
      </c>
      <c r="AL252" s="2"/>
      <c r="AM252" s="77">
        <v>15</v>
      </c>
      <c r="AN252" s="78">
        <v>50</v>
      </c>
      <c r="AO252" s="78">
        <v>50</v>
      </c>
      <c r="AP252" s="78"/>
      <c r="AQ252" s="78"/>
      <c r="AR252" s="78"/>
      <c r="AS252" s="108"/>
      <c r="AT252" s="108"/>
      <c r="AU252" s="108"/>
      <c r="AV252" s="108"/>
      <c r="AW252" s="108"/>
      <c r="AX252" s="108"/>
      <c r="AY252" s="109">
        <v>-15</v>
      </c>
      <c r="AZ252" s="2">
        <f t="shared" si="229"/>
        <v>165</v>
      </c>
      <c r="BA252" s="10"/>
      <c r="BB252" s="13">
        <f t="shared" si="230"/>
        <v>-104</v>
      </c>
      <c r="BC252" s="10"/>
      <c r="BD252" s="14">
        <f t="shared" si="231"/>
        <v>112</v>
      </c>
      <c r="BE252" s="14">
        <f t="shared" si="235"/>
        <v>102</v>
      </c>
      <c r="BF252" s="2">
        <f t="shared" si="232"/>
        <v>214</v>
      </c>
      <c r="BG252" s="2">
        <f t="shared" si="233"/>
        <v>318</v>
      </c>
    </row>
    <row r="253" spans="1:59" x14ac:dyDescent="0.3">
      <c r="A253" s="9" t="s">
        <v>27</v>
      </c>
      <c r="B253" s="99"/>
      <c r="C253" s="99">
        <f>ROUND(Load!$J$43+'2022'!$E$270*0.485/744,0)</f>
        <v>61</v>
      </c>
      <c r="D253" s="99">
        <f t="shared" si="222"/>
        <v>61</v>
      </c>
      <c r="E253" s="9" t="s">
        <v>27</v>
      </c>
      <c r="F253" s="2">
        <f>'Hoover with 30 MW Solar'!$H$39</f>
        <v>30</v>
      </c>
      <c r="G253" s="2">
        <v>35</v>
      </c>
      <c r="H253" s="2"/>
      <c r="I253" s="77">
        <v>15</v>
      </c>
      <c r="J253" s="78"/>
      <c r="K253" s="78"/>
      <c r="L253" s="78"/>
      <c r="M253" s="78"/>
      <c r="N253" s="108"/>
      <c r="O253" s="108"/>
      <c r="P253" s="108"/>
      <c r="Q253" s="108"/>
      <c r="R253" s="108"/>
      <c r="S253" s="108"/>
      <c r="T253" s="108"/>
      <c r="U253" s="109">
        <v>-15</v>
      </c>
      <c r="V253" s="2">
        <f t="shared" si="223"/>
        <v>65</v>
      </c>
      <c r="W253" s="10"/>
      <c r="X253" s="13">
        <f t="shared" si="224"/>
        <v>-4</v>
      </c>
      <c r="Y253" s="10"/>
      <c r="Z253" s="14">
        <f t="shared" si="225"/>
        <v>112</v>
      </c>
      <c r="AA253" s="14">
        <f t="shared" si="236"/>
        <v>102</v>
      </c>
      <c r="AB253" s="2">
        <f t="shared" si="226"/>
        <v>214</v>
      </c>
      <c r="AC253" s="2">
        <f t="shared" si="227"/>
        <v>218</v>
      </c>
      <c r="AE253" s="9" t="s">
        <v>27</v>
      </c>
      <c r="AF253" s="314"/>
      <c r="AG253" s="99">
        <f>ROUND(Load!$J$43+'2022'!$E$270*0.485/744,0)</f>
        <v>61</v>
      </c>
      <c r="AH253" s="2">
        <f t="shared" si="228"/>
        <v>61</v>
      </c>
      <c r="AI253" s="9" t="s">
        <v>27</v>
      </c>
      <c r="AJ253" s="2">
        <f>'Hoover with 30 MW Solar'!$H$39</f>
        <v>30</v>
      </c>
      <c r="AK253" s="2">
        <v>35</v>
      </c>
      <c r="AL253" s="2"/>
      <c r="AM253" s="77">
        <v>15</v>
      </c>
      <c r="AN253" s="78">
        <v>50</v>
      </c>
      <c r="AO253" s="78">
        <v>50</v>
      </c>
      <c r="AP253" s="78"/>
      <c r="AQ253" s="78"/>
      <c r="AR253" s="78"/>
      <c r="AS253" s="108"/>
      <c r="AT253" s="108"/>
      <c r="AU253" s="108"/>
      <c r="AV253" s="108"/>
      <c r="AW253" s="108"/>
      <c r="AX253" s="108"/>
      <c r="AY253" s="109">
        <v>-15</v>
      </c>
      <c r="AZ253" s="2">
        <f t="shared" si="229"/>
        <v>165</v>
      </c>
      <c r="BA253" s="10"/>
      <c r="BB253" s="13">
        <f t="shared" si="230"/>
        <v>-104</v>
      </c>
      <c r="BC253" s="10"/>
      <c r="BD253" s="14">
        <f t="shared" si="231"/>
        <v>112</v>
      </c>
      <c r="BE253" s="14">
        <f t="shared" si="235"/>
        <v>102</v>
      </c>
      <c r="BF253" s="2">
        <f t="shared" si="232"/>
        <v>214</v>
      </c>
      <c r="BG253" s="2">
        <f t="shared" si="233"/>
        <v>318</v>
      </c>
    </row>
    <row r="254" spans="1:59" x14ac:dyDescent="0.3">
      <c r="A254" s="9" t="s">
        <v>28</v>
      </c>
      <c r="B254" s="99"/>
      <c r="C254" s="99">
        <f>ROUND(Load!$J$43+'2022'!$E$270*0.485/744,0)</f>
        <v>61</v>
      </c>
      <c r="D254" s="99">
        <f t="shared" si="222"/>
        <v>61</v>
      </c>
      <c r="E254" s="9" t="s">
        <v>28</v>
      </c>
      <c r="F254" s="2">
        <f>'Hoover with 30 MW Solar'!$H$39</f>
        <v>30</v>
      </c>
      <c r="G254" s="2">
        <v>35</v>
      </c>
      <c r="H254" s="2"/>
      <c r="I254" s="77">
        <v>15</v>
      </c>
      <c r="J254" s="78"/>
      <c r="K254" s="78"/>
      <c r="L254" s="78"/>
      <c r="M254" s="78"/>
      <c r="N254" s="108"/>
      <c r="O254" s="108"/>
      <c r="P254" s="108"/>
      <c r="Q254" s="108"/>
      <c r="R254" s="108"/>
      <c r="S254" s="108"/>
      <c r="T254" s="108"/>
      <c r="U254" s="109">
        <v>-15</v>
      </c>
      <c r="V254" s="2">
        <f t="shared" si="223"/>
        <v>65</v>
      </c>
      <c r="W254" s="10"/>
      <c r="X254" s="13">
        <f t="shared" si="224"/>
        <v>-4</v>
      </c>
      <c r="Y254" s="10"/>
      <c r="Z254" s="14">
        <f t="shared" si="225"/>
        <v>112</v>
      </c>
      <c r="AA254" s="14">
        <f t="shared" si="236"/>
        <v>102</v>
      </c>
      <c r="AB254" s="2">
        <f t="shared" si="226"/>
        <v>214</v>
      </c>
      <c r="AC254" s="2">
        <f t="shared" si="227"/>
        <v>218</v>
      </c>
      <c r="AE254" s="9" t="s">
        <v>28</v>
      </c>
      <c r="AF254" s="314"/>
      <c r="AG254" s="99">
        <f>ROUND(Load!$J$43+'2022'!$E$270*0.485/744,0)</f>
        <v>61</v>
      </c>
      <c r="AH254" s="2">
        <f t="shared" si="228"/>
        <v>61</v>
      </c>
      <c r="AI254" s="9" t="s">
        <v>28</v>
      </c>
      <c r="AJ254" s="2">
        <f>'Hoover with 30 MW Solar'!$H$39</f>
        <v>30</v>
      </c>
      <c r="AK254" s="2">
        <v>35</v>
      </c>
      <c r="AL254" s="2"/>
      <c r="AM254" s="77">
        <v>15</v>
      </c>
      <c r="AN254" s="78">
        <v>50</v>
      </c>
      <c r="AO254" s="78">
        <v>50</v>
      </c>
      <c r="AP254" s="78"/>
      <c r="AQ254" s="78"/>
      <c r="AR254" s="78"/>
      <c r="AS254" s="108"/>
      <c r="AT254" s="108"/>
      <c r="AU254" s="108"/>
      <c r="AV254" s="108"/>
      <c r="AW254" s="108"/>
      <c r="AX254" s="108"/>
      <c r="AY254" s="109">
        <v>-15</v>
      </c>
      <c r="AZ254" s="2">
        <f t="shared" si="229"/>
        <v>165</v>
      </c>
      <c r="BA254" s="10"/>
      <c r="BB254" s="13">
        <f t="shared" si="230"/>
        <v>-104</v>
      </c>
      <c r="BC254" s="10"/>
      <c r="BD254" s="14">
        <f t="shared" si="231"/>
        <v>112</v>
      </c>
      <c r="BE254" s="14">
        <f t="shared" si="235"/>
        <v>102</v>
      </c>
      <c r="BF254" s="2">
        <f t="shared" si="232"/>
        <v>214</v>
      </c>
      <c r="BG254" s="2">
        <f t="shared" si="233"/>
        <v>318</v>
      </c>
    </row>
    <row r="255" spans="1:59" x14ac:dyDescent="0.3">
      <c r="A255" s="9" t="s">
        <v>29</v>
      </c>
      <c r="B255" s="99"/>
      <c r="C255" s="99">
        <f>ROUND(Load!$J$43+'2022'!$E$270*0.485/744,0)</f>
        <v>61</v>
      </c>
      <c r="D255" s="99">
        <f t="shared" si="222"/>
        <v>61</v>
      </c>
      <c r="E255" s="9" t="s">
        <v>29</v>
      </c>
      <c r="F255" s="2">
        <f>'Hoover with 30 MW Solar'!$H$39</f>
        <v>30</v>
      </c>
      <c r="G255" s="2">
        <v>35</v>
      </c>
      <c r="H255" s="2"/>
      <c r="I255" s="77">
        <v>15</v>
      </c>
      <c r="J255" s="78"/>
      <c r="K255" s="78"/>
      <c r="L255" s="78"/>
      <c r="M255" s="78"/>
      <c r="N255" s="108"/>
      <c r="O255" s="108"/>
      <c r="P255" s="108"/>
      <c r="Q255" s="108"/>
      <c r="R255" s="108"/>
      <c r="S255" s="108"/>
      <c r="T255" s="108"/>
      <c r="U255" s="109">
        <v>-15</v>
      </c>
      <c r="V255" s="2">
        <f t="shared" si="223"/>
        <v>65</v>
      </c>
      <c r="W255" s="10"/>
      <c r="X255" s="13">
        <f t="shared" si="224"/>
        <v>-4</v>
      </c>
      <c r="Y255" s="10"/>
      <c r="Z255" s="14">
        <f t="shared" si="225"/>
        <v>112</v>
      </c>
      <c r="AA255" s="14">
        <f t="shared" si="236"/>
        <v>102</v>
      </c>
      <c r="AB255" s="2">
        <f t="shared" si="226"/>
        <v>214</v>
      </c>
      <c r="AC255" s="2">
        <f t="shared" si="227"/>
        <v>218</v>
      </c>
      <c r="AE255" s="9" t="s">
        <v>29</v>
      </c>
      <c r="AF255" s="314"/>
      <c r="AG255" s="99">
        <f>ROUND(Load!$J$43+'2022'!$E$270*0.485/744,0)</f>
        <v>61</v>
      </c>
      <c r="AH255" s="2">
        <f t="shared" si="228"/>
        <v>61</v>
      </c>
      <c r="AI255" s="9" t="s">
        <v>29</v>
      </c>
      <c r="AJ255" s="2">
        <f>'Hoover with 30 MW Solar'!$H$39</f>
        <v>30</v>
      </c>
      <c r="AK255" s="2">
        <v>35</v>
      </c>
      <c r="AL255" s="2"/>
      <c r="AM255" s="77">
        <v>15</v>
      </c>
      <c r="AN255" s="78">
        <v>50</v>
      </c>
      <c r="AO255" s="78">
        <v>50</v>
      </c>
      <c r="AP255" s="78"/>
      <c r="AQ255" s="78"/>
      <c r="AR255" s="78"/>
      <c r="AS255" s="108"/>
      <c r="AT255" s="108"/>
      <c r="AU255" s="108"/>
      <c r="AV255" s="108"/>
      <c r="AW255" s="108"/>
      <c r="AX255" s="108"/>
      <c r="AY255" s="109">
        <v>-15</v>
      </c>
      <c r="AZ255" s="2">
        <f t="shared" si="229"/>
        <v>165</v>
      </c>
      <c r="BA255" s="10"/>
      <c r="BB255" s="13">
        <f t="shared" si="230"/>
        <v>-104</v>
      </c>
      <c r="BC255" s="10"/>
      <c r="BD255" s="14">
        <f t="shared" si="231"/>
        <v>112</v>
      </c>
      <c r="BE255" s="14">
        <f t="shared" si="235"/>
        <v>102</v>
      </c>
      <c r="BF255" s="2">
        <f t="shared" si="232"/>
        <v>214</v>
      </c>
      <c r="BG255" s="2">
        <f t="shared" si="233"/>
        <v>318</v>
      </c>
    </row>
    <row r="256" spans="1:59" x14ac:dyDescent="0.3">
      <c r="A256" s="9" t="s">
        <v>30</v>
      </c>
      <c r="B256" s="99"/>
      <c r="C256" s="99">
        <f>ROUND(Load!$J$43+'2022'!$E$270*0.485/744,0)</f>
        <v>61</v>
      </c>
      <c r="D256" s="99">
        <f t="shared" si="222"/>
        <v>61</v>
      </c>
      <c r="E256" s="9" t="s">
        <v>30</v>
      </c>
      <c r="F256" s="2">
        <f>'Hoover with 30 MW Solar'!$H$39</f>
        <v>30</v>
      </c>
      <c r="G256" s="2">
        <v>35</v>
      </c>
      <c r="H256" s="2"/>
      <c r="I256" s="77">
        <v>15</v>
      </c>
      <c r="J256" s="78"/>
      <c r="K256" s="78"/>
      <c r="L256" s="78"/>
      <c r="M256" s="78"/>
      <c r="N256" s="108"/>
      <c r="O256" s="108"/>
      <c r="P256" s="108"/>
      <c r="Q256" s="108"/>
      <c r="R256" s="108"/>
      <c r="S256" s="108"/>
      <c r="T256" s="108"/>
      <c r="U256" s="109">
        <v>-15</v>
      </c>
      <c r="V256" s="2">
        <f t="shared" si="223"/>
        <v>65</v>
      </c>
      <c r="W256" s="10"/>
      <c r="X256" s="13">
        <f t="shared" si="224"/>
        <v>-4</v>
      </c>
      <c r="Y256" s="10"/>
      <c r="Z256" s="14">
        <f t="shared" si="225"/>
        <v>112</v>
      </c>
      <c r="AA256" s="14">
        <f t="shared" si="236"/>
        <v>102</v>
      </c>
      <c r="AB256" s="2">
        <f t="shared" si="226"/>
        <v>214</v>
      </c>
      <c r="AC256" s="2">
        <f t="shared" si="227"/>
        <v>218</v>
      </c>
      <c r="AE256" s="9" t="s">
        <v>30</v>
      </c>
      <c r="AF256" s="314"/>
      <c r="AG256" s="99">
        <f>ROUND(Load!$J$43+'2022'!$E$270*0.485/744,0)</f>
        <v>61</v>
      </c>
      <c r="AH256" s="2">
        <f t="shared" si="228"/>
        <v>61</v>
      </c>
      <c r="AI256" s="9" t="s">
        <v>30</v>
      </c>
      <c r="AJ256" s="2">
        <f>'Hoover with 30 MW Solar'!$H$39</f>
        <v>30</v>
      </c>
      <c r="AK256" s="2">
        <v>35</v>
      </c>
      <c r="AL256" s="2"/>
      <c r="AM256" s="77">
        <v>15</v>
      </c>
      <c r="AN256" s="78">
        <v>50</v>
      </c>
      <c r="AO256" s="78">
        <v>50</v>
      </c>
      <c r="AP256" s="78"/>
      <c r="AQ256" s="78"/>
      <c r="AR256" s="78"/>
      <c r="AS256" s="108"/>
      <c r="AT256" s="108"/>
      <c r="AU256" s="108"/>
      <c r="AV256" s="108"/>
      <c r="AW256" s="108"/>
      <c r="AX256" s="108"/>
      <c r="AY256" s="109">
        <v>-15</v>
      </c>
      <c r="AZ256" s="2">
        <f t="shared" si="229"/>
        <v>165</v>
      </c>
      <c r="BA256" s="10"/>
      <c r="BB256" s="13">
        <f t="shared" si="230"/>
        <v>-104</v>
      </c>
      <c r="BC256" s="10"/>
      <c r="BD256" s="14">
        <f t="shared" si="231"/>
        <v>112</v>
      </c>
      <c r="BE256" s="14">
        <f t="shared" si="235"/>
        <v>102</v>
      </c>
      <c r="BF256" s="2">
        <f t="shared" si="232"/>
        <v>214</v>
      </c>
      <c r="BG256" s="2">
        <f t="shared" si="233"/>
        <v>318</v>
      </c>
    </row>
    <row r="257" spans="1:59" x14ac:dyDescent="0.3">
      <c r="A257" s="9" t="s">
        <v>31</v>
      </c>
      <c r="B257" s="99"/>
      <c r="C257" s="99">
        <f>ROUND(Load!$J$43+'2022'!$E$270*0.485/744,0)</f>
        <v>61</v>
      </c>
      <c r="D257" s="99">
        <f t="shared" si="222"/>
        <v>61</v>
      </c>
      <c r="E257" s="9" t="s">
        <v>31</v>
      </c>
      <c r="F257" s="2">
        <f>'Hoover with 30 MW Solar'!$H$39</f>
        <v>30</v>
      </c>
      <c r="G257" s="2">
        <v>35</v>
      </c>
      <c r="H257" s="2"/>
      <c r="I257" s="77">
        <v>15</v>
      </c>
      <c r="J257" s="78"/>
      <c r="K257" s="78"/>
      <c r="L257" s="78"/>
      <c r="M257" s="78"/>
      <c r="N257" s="108"/>
      <c r="O257" s="108"/>
      <c r="P257" s="108"/>
      <c r="Q257" s="108"/>
      <c r="R257" s="108"/>
      <c r="S257" s="108"/>
      <c r="T257" s="108"/>
      <c r="U257" s="109">
        <v>-15</v>
      </c>
      <c r="V257" s="2">
        <f t="shared" si="223"/>
        <v>65</v>
      </c>
      <c r="W257" s="10"/>
      <c r="X257" s="13">
        <f t="shared" si="224"/>
        <v>-4</v>
      </c>
      <c r="Y257" s="10"/>
      <c r="Z257" s="14">
        <f t="shared" si="225"/>
        <v>112</v>
      </c>
      <c r="AA257" s="14">
        <f t="shared" si="236"/>
        <v>102</v>
      </c>
      <c r="AB257" s="2">
        <f t="shared" si="226"/>
        <v>214</v>
      </c>
      <c r="AC257" s="2">
        <f t="shared" si="227"/>
        <v>218</v>
      </c>
      <c r="AE257" s="9" t="s">
        <v>31</v>
      </c>
      <c r="AF257" s="314"/>
      <c r="AG257" s="99">
        <f>ROUND(Load!$J$43+'2022'!$E$270*0.485/744,0)</f>
        <v>61</v>
      </c>
      <c r="AH257" s="2">
        <f t="shared" si="228"/>
        <v>61</v>
      </c>
      <c r="AI257" s="9" t="s">
        <v>31</v>
      </c>
      <c r="AJ257" s="2">
        <f>'Hoover with 30 MW Solar'!$H$39</f>
        <v>30</v>
      </c>
      <c r="AK257" s="2">
        <v>35</v>
      </c>
      <c r="AL257" s="2"/>
      <c r="AM257" s="77">
        <v>15</v>
      </c>
      <c r="AN257" s="78">
        <v>50</v>
      </c>
      <c r="AO257" s="78">
        <v>50</v>
      </c>
      <c r="AP257" s="78"/>
      <c r="AQ257" s="78"/>
      <c r="AR257" s="78"/>
      <c r="AS257" s="108"/>
      <c r="AT257" s="108"/>
      <c r="AU257" s="108"/>
      <c r="AV257" s="108"/>
      <c r="AW257" s="108"/>
      <c r="AX257" s="108"/>
      <c r="AY257" s="109">
        <v>-15</v>
      </c>
      <c r="AZ257" s="2">
        <f t="shared" si="229"/>
        <v>165</v>
      </c>
      <c r="BA257" s="10"/>
      <c r="BB257" s="13">
        <f t="shared" si="230"/>
        <v>-104</v>
      </c>
      <c r="BC257" s="10"/>
      <c r="BD257" s="14">
        <f t="shared" si="231"/>
        <v>112</v>
      </c>
      <c r="BE257" s="14">
        <f t="shared" si="235"/>
        <v>102</v>
      </c>
      <c r="BF257" s="2">
        <f t="shared" si="232"/>
        <v>214</v>
      </c>
      <c r="BG257" s="2">
        <f t="shared" si="233"/>
        <v>318</v>
      </c>
    </row>
    <row r="258" spans="1:59" x14ac:dyDescent="0.3">
      <c r="A258" s="9" t="s">
        <v>32</v>
      </c>
      <c r="B258" s="99"/>
      <c r="C258" s="99">
        <f>ROUND(Load!$J$43+'2022'!$E$270*0.485/744,0)</f>
        <v>61</v>
      </c>
      <c r="D258" s="99">
        <f t="shared" si="222"/>
        <v>61</v>
      </c>
      <c r="E258" s="9" t="s">
        <v>32</v>
      </c>
      <c r="F258" s="2">
        <f>'Hoover with 30 MW Solar'!$H$39</f>
        <v>30</v>
      </c>
      <c r="G258" s="2">
        <v>35</v>
      </c>
      <c r="H258" s="2"/>
      <c r="I258" s="77">
        <v>15</v>
      </c>
      <c r="J258" s="78"/>
      <c r="K258" s="78"/>
      <c r="L258" s="78"/>
      <c r="M258" s="78"/>
      <c r="N258" s="108"/>
      <c r="O258" s="108"/>
      <c r="P258" s="108"/>
      <c r="Q258" s="108"/>
      <c r="R258" s="108"/>
      <c r="S258" s="108"/>
      <c r="T258" s="108"/>
      <c r="U258" s="109">
        <v>-15</v>
      </c>
      <c r="V258" s="2">
        <f t="shared" si="223"/>
        <v>65</v>
      </c>
      <c r="W258" s="10"/>
      <c r="X258" s="13">
        <f t="shared" si="224"/>
        <v>-4</v>
      </c>
      <c r="Y258" s="10"/>
      <c r="Z258" s="14">
        <f t="shared" si="225"/>
        <v>112</v>
      </c>
      <c r="AA258" s="14">
        <f t="shared" si="236"/>
        <v>102</v>
      </c>
      <c r="AB258" s="2">
        <f t="shared" si="226"/>
        <v>214</v>
      </c>
      <c r="AC258" s="2">
        <f t="shared" si="227"/>
        <v>218</v>
      </c>
      <c r="AE258" s="9" t="s">
        <v>32</v>
      </c>
      <c r="AF258" s="314"/>
      <c r="AG258" s="99">
        <f>ROUND(Load!$J$43+'2022'!$E$270*0.485/744,0)</f>
        <v>61</v>
      </c>
      <c r="AH258" s="2">
        <f t="shared" si="228"/>
        <v>61</v>
      </c>
      <c r="AI258" s="9" t="s">
        <v>32</v>
      </c>
      <c r="AJ258" s="2">
        <f>'Hoover with 30 MW Solar'!$H$39</f>
        <v>30</v>
      </c>
      <c r="AK258" s="2">
        <v>35</v>
      </c>
      <c r="AL258" s="2"/>
      <c r="AM258" s="77">
        <v>15</v>
      </c>
      <c r="AN258" s="78">
        <v>50</v>
      </c>
      <c r="AO258" s="78">
        <v>50</v>
      </c>
      <c r="AP258" s="78"/>
      <c r="AQ258" s="78"/>
      <c r="AR258" s="78"/>
      <c r="AS258" s="108"/>
      <c r="AT258" s="108"/>
      <c r="AU258" s="108"/>
      <c r="AV258" s="108"/>
      <c r="AW258" s="108"/>
      <c r="AX258" s="108"/>
      <c r="AY258" s="109">
        <v>-15</v>
      </c>
      <c r="AZ258" s="2">
        <f t="shared" si="229"/>
        <v>165</v>
      </c>
      <c r="BA258" s="10"/>
      <c r="BB258" s="13">
        <f t="shared" si="230"/>
        <v>-104</v>
      </c>
      <c r="BC258" s="10"/>
      <c r="BD258" s="14">
        <f t="shared" si="231"/>
        <v>112</v>
      </c>
      <c r="BE258" s="14">
        <f t="shared" si="235"/>
        <v>102</v>
      </c>
      <c r="BF258" s="2">
        <f t="shared" si="232"/>
        <v>214</v>
      </c>
      <c r="BG258" s="2">
        <f t="shared" si="233"/>
        <v>318</v>
      </c>
    </row>
    <row r="259" spans="1:59" x14ac:dyDescent="0.3">
      <c r="A259" s="9" t="s">
        <v>33</v>
      </c>
      <c r="B259" s="99"/>
      <c r="C259" s="99">
        <f>ROUND(Load!$J$43+'2022'!$E$270*0.485/744,0)</f>
        <v>61</v>
      </c>
      <c r="D259" s="99">
        <f t="shared" si="222"/>
        <v>61</v>
      </c>
      <c r="E259" s="9" t="s">
        <v>33</v>
      </c>
      <c r="F259" s="2">
        <f>'Hoover with 30 MW Solar'!$H$39</f>
        <v>30</v>
      </c>
      <c r="G259" s="2">
        <v>35</v>
      </c>
      <c r="H259" s="2">
        <v>53</v>
      </c>
      <c r="I259" s="77">
        <v>15</v>
      </c>
      <c r="J259" s="78"/>
      <c r="K259" s="78"/>
      <c r="L259" s="78"/>
      <c r="M259" s="78"/>
      <c r="N259" s="108"/>
      <c r="O259" s="108"/>
      <c r="P259" s="108"/>
      <c r="Q259" s="108"/>
      <c r="R259" s="108"/>
      <c r="S259" s="108">
        <v>-25</v>
      </c>
      <c r="T259" s="108"/>
      <c r="U259" s="109">
        <v>-15</v>
      </c>
      <c r="V259" s="2">
        <f t="shared" si="223"/>
        <v>93</v>
      </c>
      <c r="W259" s="10"/>
      <c r="X259" s="13">
        <f t="shared" si="224"/>
        <v>-32</v>
      </c>
      <c r="Y259" s="10"/>
      <c r="Z259" s="14">
        <f t="shared" si="225"/>
        <v>59</v>
      </c>
      <c r="AA259" s="14">
        <f t="shared" si="236"/>
        <v>102</v>
      </c>
      <c r="AB259" s="2">
        <f t="shared" si="226"/>
        <v>161</v>
      </c>
      <c r="AC259" s="2">
        <f t="shared" si="227"/>
        <v>193</v>
      </c>
      <c r="AE259" s="9" t="s">
        <v>33</v>
      </c>
      <c r="AF259" s="314"/>
      <c r="AG259" s="99">
        <f>ROUND(Load!$J$43+'2022'!$E$270*0.485/744,0)</f>
        <v>61</v>
      </c>
      <c r="AH259" s="2">
        <f t="shared" si="228"/>
        <v>61</v>
      </c>
      <c r="AI259" s="9" t="s">
        <v>33</v>
      </c>
      <c r="AJ259" s="2">
        <f>'Hoover with 30 MW Solar'!$H$39</f>
        <v>30</v>
      </c>
      <c r="AK259" s="2">
        <v>35</v>
      </c>
      <c r="AL259" s="314">
        <v>53</v>
      </c>
      <c r="AM259" s="77">
        <v>15</v>
      </c>
      <c r="AN259" s="78">
        <v>50</v>
      </c>
      <c r="AO259" s="78">
        <v>50</v>
      </c>
      <c r="AP259" s="78"/>
      <c r="AQ259" s="78"/>
      <c r="AR259" s="78"/>
      <c r="AS259" s="108"/>
      <c r="AT259" s="108"/>
      <c r="AU259" s="108"/>
      <c r="AV259" s="108"/>
      <c r="AW259" s="108"/>
      <c r="AX259" s="108"/>
      <c r="AY259" s="109">
        <v>-15</v>
      </c>
      <c r="AZ259" s="2">
        <f t="shared" si="229"/>
        <v>218</v>
      </c>
      <c r="BA259" s="10"/>
      <c r="BB259" s="13">
        <f t="shared" si="230"/>
        <v>-157</v>
      </c>
      <c r="BC259" s="10"/>
      <c r="BD259" s="14">
        <f t="shared" si="231"/>
        <v>59</v>
      </c>
      <c r="BE259" s="14">
        <f t="shared" si="235"/>
        <v>102</v>
      </c>
      <c r="BF259" s="2">
        <f t="shared" si="232"/>
        <v>161</v>
      </c>
      <c r="BG259" s="2">
        <f t="shared" si="233"/>
        <v>318</v>
      </c>
    </row>
    <row r="260" spans="1:59" x14ac:dyDescent="0.3">
      <c r="A260" s="9" t="s">
        <v>34</v>
      </c>
      <c r="B260" s="99"/>
      <c r="C260" s="99">
        <f>ROUND(Load!$J$43+'2022'!$E$270*0.485/744,0)</f>
        <v>61</v>
      </c>
      <c r="D260" s="99">
        <f t="shared" si="222"/>
        <v>61</v>
      </c>
      <c r="E260" s="9" t="s">
        <v>34</v>
      </c>
      <c r="F260" s="2">
        <f>'Hoover with 30 MW Solar'!$H$39</f>
        <v>30</v>
      </c>
      <c r="G260" s="2">
        <v>35</v>
      </c>
      <c r="H260" s="2">
        <v>54</v>
      </c>
      <c r="I260" s="77">
        <v>15</v>
      </c>
      <c r="J260" s="78"/>
      <c r="K260" s="78"/>
      <c r="L260" s="78"/>
      <c r="M260" s="78"/>
      <c r="N260" s="108"/>
      <c r="O260" s="108"/>
      <c r="P260" s="108"/>
      <c r="Q260" s="108"/>
      <c r="R260" s="108"/>
      <c r="S260" s="108">
        <v>-25</v>
      </c>
      <c r="T260" s="108"/>
      <c r="U260" s="109">
        <v>-15</v>
      </c>
      <c r="V260" s="2">
        <f t="shared" si="223"/>
        <v>94</v>
      </c>
      <c r="W260" s="10"/>
      <c r="X260" s="13">
        <f t="shared" si="224"/>
        <v>-33</v>
      </c>
      <c r="Y260" s="10"/>
      <c r="Z260" s="14">
        <f t="shared" si="225"/>
        <v>58</v>
      </c>
      <c r="AA260" s="14">
        <f t="shared" si="236"/>
        <v>102</v>
      </c>
      <c r="AB260" s="2">
        <f t="shared" si="226"/>
        <v>160</v>
      </c>
      <c r="AC260" s="2">
        <f t="shared" si="227"/>
        <v>193</v>
      </c>
      <c r="AE260" s="9" t="s">
        <v>34</v>
      </c>
      <c r="AF260" s="314"/>
      <c r="AG260" s="99">
        <f>ROUND(Load!$J$43+'2022'!$E$270*0.485/744,0)</f>
        <v>61</v>
      </c>
      <c r="AH260" s="2">
        <f t="shared" si="228"/>
        <v>61</v>
      </c>
      <c r="AI260" s="9" t="s">
        <v>34</v>
      </c>
      <c r="AJ260" s="2">
        <f>'Hoover with 30 MW Solar'!$H$39</f>
        <v>30</v>
      </c>
      <c r="AK260" s="2">
        <v>35</v>
      </c>
      <c r="AL260" s="314">
        <v>54</v>
      </c>
      <c r="AM260" s="77">
        <v>15</v>
      </c>
      <c r="AN260" s="78">
        <v>50</v>
      </c>
      <c r="AO260" s="78">
        <v>50</v>
      </c>
      <c r="AP260" s="78"/>
      <c r="AQ260" s="78"/>
      <c r="AR260" s="78"/>
      <c r="AS260" s="108"/>
      <c r="AT260" s="108"/>
      <c r="AU260" s="108"/>
      <c r="AV260" s="108"/>
      <c r="AW260" s="108"/>
      <c r="AX260" s="108"/>
      <c r="AY260" s="109">
        <v>-15</v>
      </c>
      <c r="AZ260" s="2">
        <f t="shared" si="229"/>
        <v>219</v>
      </c>
      <c r="BA260" s="10"/>
      <c r="BB260" s="13">
        <f t="shared" si="230"/>
        <v>-158</v>
      </c>
      <c r="BC260" s="10"/>
      <c r="BD260" s="14">
        <f t="shared" si="231"/>
        <v>58</v>
      </c>
      <c r="BE260" s="14">
        <f t="shared" si="235"/>
        <v>102</v>
      </c>
      <c r="BF260" s="2">
        <f t="shared" si="232"/>
        <v>160</v>
      </c>
      <c r="BG260" s="2">
        <f t="shared" si="233"/>
        <v>318</v>
      </c>
    </row>
    <row r="261" spans="1:59" x14ac:dyDescent="0.3">
      <c r="A261" s="9" t="s">
        <v>35</v>
      </c>
      <c r="B261" s="99"/>
      <c r="C261" s="99">
        <f>ROUND(Load!$J$43+'2022'!$E$270*0.485/744,0)</f>
        <v>61</v>
      </c>
      <c r="D261" s="99">
        <f t="shared" si="222"/>
        <v>61</v>
      </c>
      <c r="E261" s="9" t="s">
        <v>35</v>
      </c>
      <c r="F261" s="2">
        <f>'Hoover with 30 MW Solar'!$H$39</f>
        <v>30</v>
      </c>
      <c r="G261" s="2">
        <v>35</v>
      </c>
      <c r="H261" s="314">
        <v>54</v>
      </c>
      <c r="I261" s="77">
        <v>15</v>
      </c>
      <c r="J261" s="78"/>
      <c r="K261" s="78"/>
      <c r="L261" s="78"/>
      <c r="M261" s="78"/>
      <c r="N261" s="108"/>
      <c r="O261" s="108"/>
      <c r="P261" s="108"/>
      <c r="Q261" s="108"/>
      <c r="R261" s="108"/>
      <c r="S261" s="108">
        <v>-25</v>
      </c>
      <c r="T261" s="108"/>
      <c r="U261" s="109">
        <v>-15</v>
      </c>
      <c r="V261" s="2">
        <f t="shared" si="223"/>
        <v>94</v>
      </c>
      <c r="W261" s="10"/>
      <c r="X261" s="13">
        <f t="shared" si="224"/>
        <v>-33</v>
      </c>
      <c r="Y261" s="10"/>
      <c r="Z261" s="14">
        <f t="shared" si="225"/>
        <v>58</v>
      </c>
      <c r="AA261" s="14">
        <f t="shared" si="236"/>
        <v>102</v>
      </c>
      <c r="AB261" s="2">
        <f t="shared" si="226"/>
        <v>160</v>
      </c>
      <c r="AC261" s="2">
        <f t="shared" si="227"/>
        <v>193</v>
      </c>
      <c r="AE261" s="9" t="s">
        <v>35</v>
      </c>
      <c r="AF261" s="314"/>
      <c r="AG261" s="99">
        <f>ROUND(Load!$J$43+'2022'!$E$270*0.485/744,0)</f>
        <v>61</v>
      </c>
      <c r="AH261" s="2">
        <f t="shared" si="228"/>
        <v>61</v>
      </c>
      <c r="AI261" s="9" t="s">
        <v>35</v>
      </c>
      <c r="AJ261" s="2">
        <f>'Hoover with 30 MW Solar'!$H$39</f>
        <v>30</v>
      </c>
      <c r="AK261" s="2">
        <v>35</v>
      </c>
      <c r="AL261" s="314">
        <v>54</v>
      </c>
      <c r="AM261" s="77">
        <v>15</v>
      </c>
      <c r="AN261" s="78">
        <v>50</v>
      </c>
      <c r="AO261" s="78">
        <v>50</v>
      </c>
      <c r="AP261" s="78"/>
      <c r="AQ261" s="78"/>
      <c r="AR261" s="78"/>
      <c r="AS261" s="108"/>
      <c r="AT261" s="108"/>
      <c r="AU261" s="108"/>
      <c r="AV261" s="108"/>
      <c r="AW261" s="108"/>
      <c r="AX261" s="108"/>
      <c r="AY261" s="109">
        <v>-15</v>
      </c>
      <c r="AZ261" s="2">
        <f t="shared" si="229"/>
        <v>219</v>
      </c>
      <c r="BA261" s="10"/>
      <c r="BB261" s="13">
        <f t="shared" si="230"/>
        <v>-158</v>
      </c>
      <c r="BC261" s="10"/>
      <c r="BD261" s="14">
        <f t="shared" si="231"/>
        <v>58</v>
      </c>
      <c r="BE261" s="14">
        <f t="shared" si="235"/>
        <v>102</v>
      </c>
      <c r="BF261" s="2">
        <f t="shared" si="232"/>
        <v>160</v>
      </c>
      <c r="BG261" s="2">
        <f t="shared" si="233"/>
        <v>318</v>
      </c>
    </row>
    <row r="262" spans="1:59" x14ac:dyDescent="0.3">
      <c r="A262" s="9" t="s">
        <v>36</v>
      </c>
      <c r="B262" s="99"/>
      <c r="C262" s="99">
        <f>ROUND(Load!$J$43+'2022'!$E$270*0.485/744,0)</f>
        <v>61</v>
      </c>
      <c r="D262" s="99">
        <f t="shared" si="222"/>
        <v>61</v>
      </c>
      <c r="E262" s="9" t="s">
        <v>36</v>
      </c>
      <c r="F262" s="2">
        <f>'Hoover with 30 MW Solar'!$H$39</f>
        <v>30</v>
      </c>
      <c r="G262" s="2">
        <v>35</v>
      </c>
      <c r="H262" s="314">
        <v>54</v>
      </c>
      <c r="I262" s="77">
        <v>15</v>
      </c>
      <c r="J262" s="78"/>
      <c r="K262" s="78"/>
      <c r="L262" s="78"/>
      <c r="M262" s="78"/>
      <c r="N262" s="108"/>
      <c r="O262" s="108"/>
      <c r="P262" s="108"/>
      <c r="Q262" s="108"/>
      <c r="R262" s="108"/>
      <c r="S262" s="108">
        <v>-25</v>
      </c>
      <c r="T262" s="108"/>
      <c r="U262" s="109">
        <v>-15</v>
      </c>
      <c r="V262" s="2">
        <f t="shared" si="223"/>
        <v>94</v>
      </c>
      <c r="W262" s="10"/>
      <c r="X262" s="13">
        <f t="shared" si="224"/>
        <v>-33</v>
      </c>
      <c r="Y262" s="10"/>
      <c r="Z262" s="14">
        <f t="shared" si="225"/>
        <v>58</v>
      </c>
      <c r="AA262" s="14">
        <f t="shared" si="236"/>
        <v>102</v>
      </c>
      <c r="AB262" s="2">
        <f t="shared" si="226"/>
        <v>160</v>
      </c>
      <c r="AC262" s="2">
        <f t="shared" si="227"/>
        <v>193</v>
      </c>
      <c r="AE262" s="9" t="s">
        <v>36</v>
      </c>
      <c r="AF262" s="314"/>
      <c r="AG262" s="99">
        <f>ROUND(Load!$J$43+'2022'!$E$270*0.485/744,0)</f>
        <v>61</v>
      </c>
      <c r="AH262" s="2">
        <f t="shared" si="228"/>
        <v>61</v>
      </c>
      <c r="AI262" s="9" t="s">
        <v>36</v>
      </c>
      <c r="AJ262" s="2">
        <f>'Hoover with 30 MW Solar'!$H$39</f>
        <v>30</v>
      </c>
      <c r="AK262" s="2">
        <v>35</v>
      </c>
      <c r="AL262" s="314">
        <v>54</v>
      </c>
      <c r="AM262" s="77">
        <v>15</v>
      </c>
      <c r="AN262" s="78">
        <v>50</v>
      </c>
      <c r="AO262" s="78">
        <v>50</v>
      </c>
      <c r="AP262" s="78"/>
      <c r="AQ262" s="78"/>
      <c r="AR262" s="78"/>
      <c r="AS262" s="108"/>
      <c r="AT262" s="108"/>
      <c r="AU262" s="108"/>
      <c r="AV262" s="108"/>
      <c r="AW262" s="108"/>
      <c r="AX262" s="108"/>
      <c r="AY262" s="109">
        <v>-15</v>
      </c>
      <c r="AZ262" s="2">
        <f t="shared" si="229"/>
        <v>219</v>
      </c>
      <c r="BA262" s="10"/>
      <c r="BB262" s="13">
        <f t="shared" si="230"/>
        <v>-158</v>
      </c>
      <c r="BC262" s="10"/>
      <c r="BD262" s="14">
        <f t="shared" si="231"/>
        <v>58</v>
      </c>
      <c r="BE262" s="14">
        <f t="shared" si="235"/>
        <v>102</v>
      </c>
      <c r="BF262" s="2">
        <f t="shared" si="232"/>
        <v>160</v>
      </c>
      <c r="BG262" s="2">
        <f t="shared" si="233"/>
        <v>318</v>
      </c>
    </row>
    <row r="263" spans="1:59" x14ac:dyDescent="0.3">
      <c r="A263" s="9" t="s">
        <v>37</v>
      </c>
      <c r="B263" s="99"/>
      <c r="C263" s="99">
        <f>ROUND(Load!$J$43+'2022'!$E$270*0.485/744,0)</f>
        <v>61</v>
      </c>
      <c r="D263" s="99">
        <f t="shared" si="222"/>
        <v>61</v>
      </c>
      <c r="E263" s="9" t="s">
        <v>37</v>
      </c>
      <c r="F263" s="2">
        <f>'Hoover with 30 MW Solar'!$H$39</f>
        <v>30</v>
      </c>
      <c r="G263" s="2">
        <v>35</v>
      </c>
      <c r="H263" s="314">
        <v>54</v>
      </c>
      <c r="I263" s="77">
        <v>15</v>
      </c>
      <c r="J263" s="78"/>
      <c r="K263" s="78"/>
      <c r="L263" s="78"/>
      <c r="M263" s="78"/>
      <c r="N263" s="108"/>
      <c r="O263" s="108"/>
      <c r="P263" s="108"/>
      <c r="Q263" s="108"/>
      <c r="R263" s="108"/>
      <c r="S263" s="108">
        <v>-25</v>
      </c>
      <c r="T263" s="108"/>
      <c r="U263" s="109">
        <v>-15</v>
      </c>
      <c r="V263" s="2">
        <f t="shared" si="223"/>
        <v>94</v>
      </c>
      <c r="W263" s="10"/>
      <c r="X263" s="13">
        <f t="shared" si="224"/>
        <v>-33</v>
      </c>
      <c r="Y263" s="10"/>
      <c r="Z263" s="14">
        <f t="shared" si="225"/>
        <v>58</v>
      </c>
      <c r="AA263" s="14">
        <f t="shared" si="236"/>
        <v>102</v>
      </c>
      <c r="AB263" s="2">
        <f t="shared" si="226"/>
        <v>160</v>
      </c>
      <c r="AC263" s="2">
        <f t="shared" si="227"/>
        <v>193</v>
      </c>
      <c r="AE263" s="9" t="s">
        <v>37</v>
      </c>
      <c r="AF263" s="314"/>
      <c r="AG263" s="99">
        <f>ROUND(Load!$J$43+'2022'!$E$270*0.485/744,0)</f>
        <v>61</v>
      </c>
      <c r="AH263" s="2">
        <f t="shared" si="228"/>
        <v>61</v>
      </c>
      <c r="AI263" s="9" t="s">
        <v>37</v>
      </c>
      <c r="AJ263" s="2">
        <f>'Hoover with 30 MW Solar'!$H$39</f>
        <v>30</v>
      </c>
      <c r="AK263" s="2">
        <v>35</v>
      </c>
      <c r="AL263" s="314">
        <v>54</v>
      </c>
      <c r="AM263" s="77">
        <v>15</v>
      </c>
      <c r="AN263" s="78">
        <v>50</v>
      </c>
      <c r="AO263" s="78">
        <v>50</v>
      </c>
      <c r="AP263" s="78"/>
      <c r="AQ263" s="78"/>
      <c r="AR263" s="78"/>
      <c r="AS263" s="108"/>
      <c r="AT263" s="108"/>
      <c r="AU263" s="108"/>
      <c r="AV263" s="108"/>
      <c r="AW263" s="108"/>
      <c r="AX263" s="108"/>
      <c r="AY263" s="109">
        <v>-15</v>
      </c>
      <c r="AZ263" s="2">
        <f t="shared" si="229"/>
        <v>219</v>
      </c>
      <c r="BA263" s="10"/>
      <c r="BB263" s="13">
        <f t="shared" si="230"/>
        <v>-158</v>
      </c>
      <c r="BC263" s="10"/>
      <c r="BD263" s="14">
        <f t="shared" si="231"/>
        <v>58</v>
      </c>
      <c r="BE263" s="14">
        <f t="shared" si="235"/>
        <v>102</v>
      </c>
      <c r="BF263" s="2">
        <f t="shared" si="232"/>
        <v>160</v>
      </c>
      <c r="BG263" s="2">
        <f t="shared" si="233"/>
        <v>318</v>
      </c>
    </row>
    <row r="264" spans="1:59" x14ac:dyDescent="0.3">
      <c r="A264" s="9" t="s">
        <v>38</v>
      </c>
      <c r="B264" s="99"/>
      <c r="C264" s="99">
        <f>ROUND(Load!$J$43+'2022'!$E$270*0.485/744,0)</f>
        <v>61</v>
      </c>
      <c r="D264" s="99">
        <f t="shared" si="222"/>
        <v>61</v>
      </c>
      <c r="E264" s="9" t="s">
        <v>38</v>
      </c>
      <c r="F264" s="2">
        <f>'Hoover with 30 MW Solar'!$H$39</f>
        <v>30</v>
      </c>
      <c r="G264" s="2">
        <v>35</v>
      </c>
      <c r="H264" s="314">
        <v>54</v>
      </c>
      <c r="I264" s="77">
        <v>15</v>
      </c>
      <c r="J264" s="78"/>
      <c r="K264" s="78"/>
      <c r="L264" s="78"/>
      <c r="M264" s="78"/>
      <c r="N264" s="108"/>
      <c r="O264" s="108"/>
      <c r="P264" s="108"/>
      <c r="Q264" s="108"/>
      <c r="R264" s="108"/>
      <c r="S264" s="108">
        <v>-25</v>
      </c>
      <c r="T264" s="108"/>
      <c r="U264" s="109">
        <v>-15</v>
      </c>
      <c r="V264" s="2">
        <f t="shared" si="223"/>
        <v>94</v>
      </c>
      <c r="W264" s="10"/>
      <c r="X264" s="13">
        <f t="shared" si="224"/>
        <v>-33</v>
      </c>
      <c r="Y264" s="10"/>
      <c r="Z264" s="14">
        <f t="shared" si="225"/>
        <v>58</v>
      </c>
      <c r="AA264" s="14">
        <f t="shared" si="236"/>
        <v>102</v>
      </c>
      <c r="AB264" s="2">
        <f t="shared" si="226"/>
        <v>160</v>
      </c>
      <c r="AC264" s="2">
        <f t="shared" si="227"/>
        <v>193</v>
      </c>
      <c r="AE264" s="9" t="s">
        <v>38</v>
      </c>
      <c r="AF264" s="314"/>
      <c r="AG264" s="99">
        <f>ROUND(Load!$J$43+'2022'!$E$270*0.485/744,0)</f>
        <v>61</v>
      </c>
      <c r="AH264" s="2">
        <f t="shared" si="228"/>
        <v>61</v>
      </c>
      <c r="AI264" s="9" t="s">
        <v>38</v>
      </c>
      <c r="AJ264" s="2">
        <f>'Hoover with 30 MW Solar'!$H$39</f>
        <v>30</v>
      </c>
      <c r="AK264" s="2">
        <v>35</v>
      </c>
      <c r="AL264" s="314">
        <v>54</v>
      </c>
      <c r="AM264" s="77">
        <v>15</v>
      </c>
      <c r="AN264" s="78">
        <v>50</v>
      </c>
      <c r="AO264" s="78">
        <v>50</v>
      </c>
      <c r="AP264" s="78"/>
      <c r="AQ264" s="78"/>
      <c r="AR264" s="78"/>
      <c r="AS264" s="108"/>
      <c r="AT264" s="108"/>
      <c r="AU264" s="108"/>
      <c r="AV264" s="108"/>
      <c r="AW264" s="108"/>
      <c r="AX264" s="108"/>
      <c r="AY264" s="109">
        <v>-15</v>
      </c>
      <c r="AZ264" s="2">
        <f t="shared" si="229"/>
        <v>219</v>
      </c>
      <c r="BA264" s="10"/>
      <c r="BB264" s="13">
        <f t="shared" si="230"/>
        <v>-158</v>
      </c>
      <c r="BC264" s="10"/>
      <c r="BD264" s="14">
        <f>142-AJ264-AL264</f>
        <v>58</v>
      </c>
      <c r="BE264" s="14">
        <f t="shared" si="235"/>
        <v>102</v>
      </c>
      <c r="BF264" s="2">
        <f t="shared" si="232"/>
        <v>160</v>
      </c>
      <c r="BG264" s="2">
        <f t="shared" si="233"/>
        <v>318</v>
      </c>
    </row>
    <row r="265" spans="1:59" x14ac:dyDescent="0.3">
      <c r="A265" s="9" t="s">
        <v>39</v>
      </c>
      <c r="B265" s="99"/>
      <c r="C265" s="99">
        <f>ROUND(Load!$J$43+'2022'!$E$270*0.485/744,0)</f>
        <v>61</v>
      </c>
      <c r="D265" s="99">
        <f t="shared" si="222"/>
        <v>61</v>
      </c>
      <c r="E265" s="9" t="s">
        <v>39</v>
      </c>
      <c r="F265" s="2">
        <f>'Hoover with 30 MW Solar'!$H$39</f>
        <v>30</v>
      </c>
      <c r="G265" s="2">
        <v>35</v>
      </c>
      <c r="H265" s="314">
        <v>54</v>
      </c>
      <c r="I265" s="77">
        <v>15</v>
      </c>
      <c r="J265" s="78"/>
      <c r="K265" s="78"/>
      <c r="L265" s="78"/>
      <c r="M265" s="78"/>
      <c r="N265" s="108"/>
      <c r="O265" s="108"/>
      <c r="P265" s="108"/>
      <c r="Q265" s="108"/>
      <c r="R265" s="108"/>
      <c r="S265" s="108">
        <v>-25</v>
      </c>
      <c r="T265" s="108"/>
      <c r="U265" s="109">
        <v>-15</v>
      </c>
      <c r="V265" s="2">
        <f t="shared" si="223"/>
        <v>94</v>
      </c>
      <c r="W265" s="10"/>
      <c r="X265" s="13">
        <f t="shared" si="224"/>
        <v>-33</v>
      </c>
      <c r="Y265" s="10"/>
      <c r="Z265" s="14">
        <f t="shared" si="225"/>
        <v>58</v>
      </c>
      <c r="AA265" s="14">
        <f t="shared" si="236"/>
        <v>102</v>
      </c>
      <c r="AB265" s="2">
        <f t="shared" si="226"/>
        <v>160</v>
      </c>
      <c r="AC265" s="2">
        <f t="shared" si="227"/>
        <v>193</v>
      </c>
      <c r="AE265" s="9" t="s">
        <v>39</v>
      </c>
      <c r="AF265" s="314"/>
      <c r="AG265" s="99">
        <f>ROUND(Load!$J$43+'2022'!$E$270*0.485/744,0)</f>
        <v>61</v>
      </c>
      <c r="AH265" s="2">
        <f t="shared" si="228"/>
        <v>61</v>
      </c>
      <c r="AI265" s="9" t="s">
        <v>39</v>
      </c>
      <c r="AJ265" s="2">
        <f>'Hoover with 30 MW Solar'!$H$39</f>
        <v>30</v>
      </c>
      <c r="AK265" s="2">
        <v>35</v>
      </c>
      <c r="AL265" s="314">
        <v>54</v>
      </c>
      <c r="AM265" s="77">
        <v>15</v>
      </c>
      <c r="AN265" s="78">
        <v>50</v>
      </c>
      <c r="AO265" s="78">
        <v>50</v>
      </c>
      <c r="AP265" s="78"/>
      <c r="AQ265" s="78"/>
      <c r="AR265" s="78"/>
      <c r="AS265" s="108"/>
      <c r="AT265" s="108"/>
      <c r="AU265" s="108"/>
      <c r="AV265" s="108"/>
      <c r="AW265" s="108"/>
      <c r="AX265" s="108"/>
      <c r="AY265" s="109">
        <v>-15</v>
      </c>
      <c r="AZ265" s="2">
        <f t="shared" si="229"/>
        <v>219</v>
      </c>
      <c r="BA265" s="10"/>
      <c r="BB265" s="13">
        <f t="shared" si="230"/>
        <v>-158</v>
      </c>
      <c r="BC265" s="10"/>
      <c r="BD265" s="14">
        <f t="shared" si="231"/>
        <v>58</v>
      </c>
      <c r="BE265" s="14">
        <f t="shared" si="235"/>
        <v>102</v>
      </c>
      <c r="BF265" s="2">
        <f t="shared" si="232"/>
        <v>160</v>
      </c>
      <c r="BG265" s="2">
        <f t="shared" si="233"/>
        <v>318</v>
      </c>
    </row>
    <row r="266" spans="1:59" x14ac:dyDescent="0.3">
      <c r="A266" s="9" t="s">
        <v>40</v>
      </c>
      <c r="B266" s="99"/>
      <c r="C266" s="99">
        <f>ROUND(Load!$J$43+'2022'!$E$270*0.485/744,0)</f>
        <v>61</v>
      </c>
      <c r="D266" s="99">
        <f t="shared" si="222"/>
        <v>61</v>
      </c>
      <c r="E266" s="9" t="s">
        <v>40</v>
      </c>
      <c r="F266" s="2">
        <f>'Hoover with 30 MW Solar'!$H$39</f>
        <v>30</v>
      </c>
      <c r="G266" s="2">
        <v>35</v>
      </c>
      <c r="H266" s="314">
        <v>54</v>
      </c>
      <c r="I266" s="77">
        <v>15</v>
      </c>
      <c r="J266" s="78"/>
      <c r="K266" s="78"/>
      <c r="L266" s="78"/>
      <c r="M266" s="78"/>
      <c r="N266" s="108"/>
      <c r="O266" s="108"/>
      <c r="P266" s="108"/>
      <c r="Q266" s="108"/>
      <c r="R266" s="108"/>
      <c r="S266" s="108">
        <v>-25</v>
      </c>
      <c r="T266" s="108"/>
      <c r="U266" s="109">
        <v>-15</v>
      </c>
      <c r="V266" s="2">
        <f t="shared" si="223"/>
        <v>94</v>
      </c>
      <c r="W266" s="10"/>
      <c r="X266" s="13">
        <f t="shared" si="224"/>
        <v>-33</v>
      </c>
      <c r="Y266" s="10"/>
      <c r="Z266" s="14">
        <f t="shared" si="225"/>
        <v>58</v>
      </c>
      <c r="AA266" s="14">
        <f t="shared" si="236"/>
        <v>102</v>
      </c>
      <c r="AB266" s="2">
        <f t="shared" si="226"/>
        <v>160</v>
      </c>
      <c r="AC266" s="2">
        <f t="shared" si="227"/>
        <v>193</v>
      </c>
      <c r="AE266" s="9" t="s">
        <v>40</v>
      </c>
      <c r="AF266" s="314"/>
      <c r="AG266" s="99">
        <f>ROUND(Load!$J$43+'2022'!$E$270*0.485/744,0)</f>
        <v>61</v>
      </c>
      <c r="AH266" s="2">
        <f t="shared" si="228"/>
        <v>61</v>
      </c>
      <c r="AI266" s="9" t="s">
        <v>40</v>
      </c>
      <c r="AJ266" s="2">
        <f>'Hoover with 30 MW Solar'!$H$39</f>
        <v>30</v>
      </c>
      <c r="AK266" s="2">
        <v>35</v>
      </c>
      <c r="AL266" s="314">
        <v>54</v>
      </c>
      <c r="AM266" s="77">
        <v>15</v>
      </c>
      <c r="AN266" s="78">
        <v>50</v>
      </c>
      <c r="AO266" s="78">
        <v>50</v>
      </c>
      <c r="AP266" s="78"/>
      <c r="AQ266" s="78"/>
      <c r="AR266" s="78"/>
      <c r="AS266" s="108"/>
      <c r="AT266" s="108"/>
      <c r="AU266" s="108"/>
      <c r="AV266" s="108"/>
      <c r="AW266" s="108"/>
      <c r="AX266" s="108"/>
      <c r="AY266" s="109">
        <v>-15</v>
      </c>
      <c r="AZ266" s="2">
        <f t="shared" si="229"/>
        <v>219</v>
      </c>
      <c r="BA266" s="10"/>
      <c r="BB266" s="13">
        <f t="shared" si="230"/>
        <v>-158</v>
      </c>
      <c r="BC266" s="10"/>
      <c r="BD266" s="14">
        <f t="shared" si="231"/>
        <v>58</v>
      </c>
      <c r="BE266" s="14">
        <f t="shared" si="235"/>
        <v>102</v>
      </c>
      <c r="BF266" s="2">
        <f t="shared" si="232"/>
        <v>160</v>
      </c>
      <c r="BG266" s="2">
        <f t="shared" si="233"/>
        <v>318</v>
      </c>
    </row>
    <row r="267" spans="1:59" x14ac:dyDescent="0.3">
      <c r="A267" s="9" t="s">
        <v>41</v>
      </c>
      <c r="B267" s="99">
        <v>49</v>
      </c>
      <c r="C267" s="99">
        <f>ROUND(Load!$J$43+'2022'!$E$270*0.485/744,0)</f>
        <v>61</v>
      </c>
      <c r="D267" s="99">
        <f t="shared" si="222"/>
        <v>110</v>
      </c>
      <c r="E267" s="9" t="s">
        <v>41</v>
      </c>
      <c r="F267" s="2"/>
      <c r="G267" s="2">
        <v>35</v>
      </c>
      <c r="H267" s="2"/>
      <c r="I267" s="77"/>
      <c r="J267" s="78">
        <v>50</v>
      </c>
      <c r="K267" s="78">
        <v>50</v>
      </c>
      <c r="L267" s="78"/>
      <c r="M267" s="78"/>
      <c r="N267" s="108"/>
      <c r="O267" s="108"/>
      <c r="P267" s="108"/>
      <c r="Q267" s="108"/>
      <c r="R267" s="108"/>
      <c r="S267" s="108"/>
      <c r="T267" s="108"/>
      <c r="U267" s="109"/>
      <c r="V267" s="2">
        <f t="shared" si="223"/>
        <v>135</v>
      </c>
      <c r="W267" s="10"/>
      <c r="X267" s="11">
        <f t="shared" si="224"/>
        <v>-25</v>
      </c>
      <c r="Y267" s="10"/>
      <c r="Z267" s="12">
        <f t="shared" si="225"/>
        <v>142</v>
      </c>
      <c r="AA267" s="12">
        <f t="shared" si="234"/>
        <v>117</v>
      </c>
      <c r="AB267" s="2">
        <f t="shared" si="226"/>
        <v>259</v>
      </c>
      <c r="AC267" s="2">
        <f t="shared" si="227"/>
        <v>284</v>
      </c>
      <c r="AE267" s="9" t="s">
        <v>41</v>
      </c>
      <c r="AF267" s="2">
        <v>98</v>
      </c>
      <c r="AG267" s="99">
        <f>ROUND(Load!$J$43+'2022'!$E$270*0.485/744,0)</f>
        <v>61</v>
      </c>
      <c r="AH267" s="2">
        <f t="shared" si="228"/>
        <v>159</v>
      </c>
      <c r="AI267" s="9" t="s">
        <v>41</v>
      </c>
      <c r="AJ267" s="2"/>
      <c r="AK267" s="2">
        <v>35</v>
      </c>
      <c r="AL267" s="2"/>
      <c r="AM267" s="77"/>
      <c r="AN267" s="78">
        <v>50</v>
      </c>
      <c r="AO267" s="78">
        <v>50</v>
      </c>
      <c r="AP267" s="78"/>
      <c r="AQ267" s="78"/>
      <c r="AR267" s="78"/>
      <c r="AS267" s="108"/>
      <c r="AT267" s="108"/>
      <c r="AU267" s="108"/>
      <c r="AV267" s="108"/>
      <c r="AW267" s="108"/>
      <c r="AX267" s="108"/>
      <c r="AY267" s="109"/>
      <c r="AZ267" s="2">
        <f t="shared" si="229"/>
        <v>135</v>
      </c>
      <c r="BA267" s="10"/>
      <c r="BB267" s="11">
        <f t="shared" si="230"/>
        <v>24</v>
      </c>
      <c r="BC267" s="10"/>
      <c r="BD267" s="12">
        <f t="shared" si="231"/>
        <v>142</v>
      </c>
      <c r="BE267" s="12">
        <f t="shared" si="235"/>
        <v>117</v>
      </c>
      <c r="BF267" s="2">
        <f t="shared" si="232"/>
        <v>259</v>
      </c>
      <c r="BG267" s="2">
        <f t="shared" si="233"/>
        <v>235</v>
      </c>
    </row>
    <row r="268" spans="1:59" ht="15" thickBot="1" x14ac:dyDescent="0.35">
      <c r="A268" s="15" t="s">
        <v>42</v>
      </c>
      <c r="B268" s="123">
        <v>49</v>
      </c>
      <c r="C268" s="123">
        <f>ROUND(Load!$J$43+'2022'!$E$270*0.485/744,0)</f>
        <v>61</v>
      </c>
      <c r="D268" s="123">
        <f t="shared" si="222"/>
        <v>110</v>
      </c>
      <c r="E268" s="15" t="s">
        <v>42</v>
      </c>
      <c r="F268" s="16"/>
      <c r="G268" s="16">
        <v>35</v>
      </c>
      <c r="H268" s="16"/>
      <c r="I268" s="75"/>
      <c r="J268" s="76">
        <v>50</v>
      </c>
      <c r="K268" s="76">
        <v>50</v>
      </c>
      <c r="L268" s="76"/>
      <c r="M268" s="76"/>
      <c r="N268" s="106"/>
      <c r="O268" s="106"/>
      <c r="P268" s="106"/>
      <c r="Q268" s="106"/>
      <c r="R268" s="106"/>
      <c r="S268" s="106"/>
      <c r="T268" s="106"/>
      <c r="U268" s="107"/>
      <c r="V268" s="16">
        <f t="shared" si="223"/>
        <v>135</v>
      </c>
      <c r="W268" s="10"/>
      <c r="X268" s="17">
        <f t="shared" si="224"/>
        <v>-25</v>
      </c>
      <c r="Y268" s="10"/>
      <c r="Z268" s="18">
        <f t="shared" si="225"/>
        <v>142</v>
      </c>
      <c r="AA268" s="18">
        <f t="shared" si="234"/>
        <v>117</v>
      </c>
      <c r="AB268" s="16">
        <f t="shared" si="226"/>
        <v>259</v>
      </c>
      <c r="AC268" s="16">
        <f t="shared" si="227"/>
        <v>284</v>
      </c>
      <c r="AE268" s="15" t="s">
        <v>42</v>
      </c>
      <c r="AF268" s="16">
        <v>98</v>
      </c>
      <c r="AG268" s="123">
        <f>ROUND(Load!$J$43+'2022'!$E$270*0.485/744,0)</f>
        <v>61</v>
      </c>
      <c r="AH268" s="16">
        <f t="shared" si="228"/>
        <v>159</v>
      </c>
      <c r="AI268" s="15" t="s">
        <v>42</v>
      </c>
      <c r="AJ268" s="16"/>
      <c r="AK268" s="16">
        <v>35</v>
      </c>
      <c r="AL268" s="16"/>
      <c r="AM268" s="75"/>
      <c r="AN268" s="76">
        <v>50</v>
      </c>
      <c r="AO268" s="76">
        <v>50</v>
      </c>
      <c r="AP268" s="76"/>
      <c r="AQ268" s="76"/>
      <c r="AR268" s="76"/>
      <c r="AS268" s="106"/>
      <c r="AT268" s="106"/>
      <c r="AU268" s="106"/>
      <c r="AV268" s="106"/>
      <c r="AW268" s="106"/>
      <c r="AX268" s="106"/>
      <c r="AY268" s="107"/>
      <c r="AZ268" s="16">
        <f t="shared" si="229"/>
        <v>135</v>
      </c>
      <c r="BA268" s="10"/>
      <c r="BB268" s="17">
        <f t="shared" si="230"/>
        <v>24</v>
      </c>
      <c r="BC268" s="10"/>
      <c r="BD268" s="18">
        <f t="shared" si="231"/>
        <v>142</v>
      </c>
      <c r="BE268" s="18">
        <f t="shared" si="235"/>
        <v>117</v>
      </c>
      <c r="BF268" s="16">
        <f t="shared" si="232"/>
        <v>259</v>
      </c>
      <c r="BG268" s="16">
        <f t="shared" si="233"/>
        <v>235</v>
      </c>
    </row>
    <row r="269" spans="1:59" ht="15" thickTop="1" x14ac:dyDescent="0.3">
      <c r="A269" s="2" t="s">
        <v>43</v>
      </c>
      <c r="B269" s="99">
        <f>SUM(B245:B268)</f>
        <v>686</v>
      </c>
      <c r="C269" s="99">
        <f t="shared" ref="C269:D269" si="237">SUM(C245:C268)</f>
        <v>1464</v>
      </c>
      <c r="D269" s="99">
        <f t="shared" si="237"/>
        <v>2150</v>
      </c>
      <c r="E269" s="327" t="s">
        <v>406</v>
      </c>
      <c r="F269" s="2">
        <f t="shared" ref="F269:H269" si="238">SUM(F245:F268)</f>
        <v>480</v>
      </c>
      <c r="G269" s="2">
        <f t="shared" si="238"/>
        <v>840</v>
      </c>
      <c r="H269" s="2">
        <f t="shared" si="238"/>
        <v>431</v>
      </c>
      <c r="I269" s="2">
        <f>SUM(I245:I268)</f>
        <v>240</v>
      </c>
      <c r="J269" s="2">
        <f>SUM(J245:J268)</f>
        <v>400</v>
      </c>
      <c r="K269" s="2">
        <f t="shared" ref="K269:U269" si="239">SUM(K245:K268)</f>
        <v>400</v>
      </c>
      <c r="L269" s="2">
        <f t="shared" si="239"/>
        <v>0</v>
      </c>
      <c r="M269" s="2">
        <f t="shared" si="239"/>
        <v>0</v>
      </c>
      <c r="N269" s="2">
        <f t="shared" si="239"/>
        <v>0</v>
      </c>
      <c r="O269" s="2">
        <f t="shared" ref="O269:P269" si="240">SUM(O245:O268)</f>
        <v>0</v>
      </c>
      <c r="P269" s="2">
        <f t="shared" si="240"/>
        <v>0</v>
      </c>
      <c r="Q269" s="2">
        <f t="shared" ref="Q269" si="241">SUM(Q245:Q268)</f>
        <v>0</v>
      </c>
      <c r="R269" s="2">
        <f t="shared" ref="R269" si="242">SUM(R245:R268)</f>
        <v>0</v>
      </c>
      <c r="S269" s="2">
        <f t="shared" ref="S269" si="243">SUM(S245:S268)</f>
        <v>-200</v>
      </c>
      <c r="T269" s="2">
        <f t="shared" ref="T269" si="244">SUM(T245:T268)</f>
        <v>0</v>
      </c>
      <c r="U269" s="2">
        <f t="shared" si="239"/>
        <v>-240</v>
      </c>
      <c r="V269" s="2">
        <f>SUM(V245:V268)</f>
        <v>2351</v>
      </c>
      <c r="W269" s="10"/>
      <c r="X269" s="2">
        <f>SUM(X245:X268)</f>
        <v>-201</v>
      </c>
      <c r="Y269" s="10"/>
      <c r="Z269" s="19">
        <f>SUM(Z245:Z268)</f>
        <v>2497</v>
      </c>
      <c r="AA269" s="19">
        <f>SUM(AA245:AA268)</f>
        <v>2568</v>
      </c>
      <c r="AB269" s="19">
        <f>SUM(AB245:AB268)</f>
        <v>5065</v>
      </c>
      <c r="AC269" s="19">
        <f>SUM(AC245:AC268)</f>
        <v>5266</v>
      </c>
      <c r="AE269" s="2" t="s">
        <v>43</v>
      </c>
      <c r="AF269" s="2">
        <f>SUM(AF245:AF268)</f>
        <v>784</v>
      </c>
      <c r="AG269" s="2">
        <f t="shared" ref="AG269:AH269" si="245">SUM(AG245:AG268)</f>
        <v>1464</v>
      </c>
      <c r="AH269" s="2">
        <f t="shared" si="245"/>
        <v>2248</v>
      </c>
      <c r="AI269" s="92"/>
      <c r="AJ269" s="2">
        <f t="shared" ref="AJ269:AL269" si="246">SUM(AJ245:AJ268)</f>
        <v>480</v>
      </c>
      <c r="AK269" s="2">
        <f t="shared" si="246"/>
        <v>840</v>
      </c>
      <c r="AL269" s="2">
        <f t="shared" si="246"/>
        <v>431</v>
      </c>
      <c r="AM269" s="2">
        <f>SUM(AM245:AM268)</f>
        <v>240</v>
      </c>
      <c r="AN269" s="2">
        <f t="shared" ref="AN269:AO269" si="247">SUM(AN245:AN268)</f>
        <v>1200</v>
      </c>
      <c r="AO269" s="2">
        <f t="shared" si="247"/>
        <v>1200</v>
      </c>
      <c r="AP269" s="2">
        <f>SUM(AP245:AP268)</f>
        <v>0</v>
      </c>
      <c r="AQ269" s="2">
        <f t="shared" ref="AQ269:AY269" si="248">SUM(AQ245:AQ268)</f>
        <v>0</v>
      </c>
      <c r="AR269" s="2">
        <f t="shared" si="248"/>
        <v>0</v>
      </c>
      <c r="AS269" s="2">
        <f t="shared" si="248"/>
        <v>0</v>
      </c>
      <c r="AT269" s="2">
        <f t="shared" si="248"/>
        <v>0</v>
      </c>
      <c r="AU269" s="2">
        <f t="shared" si="248"/>
        <v>0</v>
      </c>
      <c r="AV269" s="2">
        <f t="shared" si="248"/>
        <v>0</v>
      </c>
      <c r="AW269" s="2">
        <f t="shared" si="248"/>
        <v>0</v>
      </c>
      <c r="AX269" s="2">
        <f t="shared" si="248"/>
        <v>0</v>
      </c>
      <c r="AY269" s="2">
        <f t="shared" si="248"/>
        <v>-240</v>
      </c>
      <c r="AZ269" s="2">
        <f>SUM(AZ245:AZ268)</f>
        <v>4151</v>
      </c>
      <c r="BA269" s="10"/>
      <c r="BB269" s="19">
        <f>SUM(BB245:BB268)</f>
        <v>-1903</v>
      </c>
      <c r="BC269" s="10"/>
      <c r="BD269" s="19">
        <f>SUM(BD245:BD268)</f>
        <v>2497</v>
      </c>
      <c r="BE269" s="19">
        <f>SUM(BE245:BE268)</f>
        <v>2568</v>
      </c>
      <c r="BF269" s="19">
        <f>SUM(BF245:BF268)</f>
        <v>5065</v>
      </c>
      <c r="BG269" s="19">
        <f>SUM(BG245:BG268)</f>
        <v>6968</v>
      </c>
    </row>
    <row r="270" spans="1:59" x14ac:dyDescent="0.3">
      <c r="A270" s="2" t="s">
        <v>44</v>
      </c>
      <c r="B270" s="99">
        <f>B269*(31-$AN242)</f>
        <v>17150</v>
      </c>
      <c r="C270" s="99">
        <f t="shared" ref="C270:D270" si="249">C269*(31-$AN242)</f>
        <v>36600</v>
      </c>
      <c r="D270" s="99">
        <f t="shared" si="249"/>
        <v>53750</v>
      </c>
      <c r="E270" s="328">
        <f>B270+AF270</f>
        <v>21854</v>
      </c>
      <c r="H270" s="124">
        <f>'Hoover with 30 MW Solar'!H44</f>
        <v>406.26103412903223</v>
      </c>
      <c r="I270" s="479" t="s">
        <v>470</v>
      </c>
      <c r="V270" s="2">
        <f>V269*31</f>
        <v>72881</v>
      </c>
      <c r="W270" s="35" t="s">
        <v>153</v>
      </c>
      <c r="X270" s="87">
        <f>-SUMIF(X245:X268,"&lt;0")</f>
        <v>345</v>
      </c>
      <c r="Y270" s="92">
        <f>X270*(31-AN242)</f>
        <v>8625</v>
      </c>
      <c r="Z270" s="92" t="s">
        <v>217</v>
      </c>
      <c r="AE270" s="2" t="s">
        <v>44</v>
      </c>
      <c r="AF270" s="2">
        <f>AF269*$AN242</f>
        <v>4704</v>
      </c>
      <c r="AG270" s="2">
        <f t="shared" ref="AG270:AH270" si="250">AG269*$AN242</f>
        <v>8784</v>
      </c>
      <c r="AH270" s="2">
        <f t="shared" si="250"/>
        <v>13488</v>
      </c>
      <c r="AI270" s="92"/>
      <c r="AJ270" s="92"/>
      <c r="AK270" s="92"/>
      <c r="AL270" s="124">
        <f>H270</f>
        <v>406.26103412903223</v>
      </c>
      <c r="AM270" s="2"/>
      <c r="AN270" s="2"/>
      <c r="AO270" s="2"/>
      <c r="AP270" s="2"/>
      <c r="AQ270" s="92"/>
      <c r="AR270" s="92"/>
      <c r="AS270" s="92"/>
      <c r="AT270" s="92"/>
      <c r="AU270" s="92"/>
      <c r="AV270" s="92"/>
      <c r="AW270" s="92"/>
      <c r="AX270" s="92"/>
      <c r="AY270" s="92"/>
      <c r="AZ270" s="2"/>
      <c r="BA270" s="35" t="s">
        <v>216</v>
      </c>
      <c r="BB270" s="87">
        <f>-SUMIF(BB245:BB268,"&lt;0")</f>
        <v>2095</v>
      </c>
      <c r="BC270" s="92">
        <f>BB270*AN242</f>
        <v>12570</v>
      </c>
      <c r="BD270" s="92" t="s">
        <v>217</v>
      </c>
      <c r="BE270" s="92"/>
      <c r="BF270" s="92"/>
      <c r="BG270" s="92"/>
    </row>
    <row r="271" spans="1:59" x14ac:dyDescent="0.3">
      <c r="A271" s="2" t="s">
        <v>45</v>
      </c>
      <c r="B271" s="20">
        <f>ROUND(B269/48.5,0)</f>
        <v>14</v>
      </c>
      <c r="C271" s="294">
        <f>((B271*(31-AN242)+AF271*AN242)/31)</f>
        <v>14.387096774193548</v>
      </c>
      <c r="D271" s="294">
        <f>C271-Load!J35</f>
        <v>-0.69044665012406981</v>
      </c>
      <c r="F271" s="21">
        <v>24.99</v>
      </c>
      <c r="G271" s="62">
        <f>D491</f>
        <v>49.361512499999996</v>
      </c>
      <c r="H271" s="98">
        <f>$F$479</f>
        <v>43.87</v>
      </c>
      <c r="I271" s="21">
        <v>61.49</v>
      </c>
      <c r="J271" s="21">
        <v>30.9</v>
      </c>
      <c r="K271" s="21">
        <v>30.93</v>
      </c>
      <c r="L271" s="21"/>
      <c r="M271" s="21"/>
      <c r="N271" s="21"/>
      <c r="O271" s="21"/>
      <c r="P271" s="21"/>
      <c r="Q271" s="21"/>
      <c r="R271" s="21"/>
      <c r="S271" s="21">
        <v>310</v>
      </c>
      <c r="T271" s="313"/>
      <c r="U271" s="21"/>
      <c r="X271" s="11">
        <f>SUM(X267:X268,X245:X250)</f>
        <v>94</v>
      </c>
      <c r="Y271" s="92">
        <f>Y270+BC270</f>
        <v>21195</v>
      </c>
      <c r="Z271" s="92" t="s">
        <v>236</v>
      </c>
      <c r="AA271" s="92"/>
      <c r="AE271" s="2" t="s">
        <v>45</v>
      </c>
      <c r="AF271" s="20">
        <f>ROUND(AF269/48.5,0)</f>
        <v>16</v>
      </c>
      <c r="AG271" s="92"/>
      <c r="AH271" s="92"/>
      <c r="AI271" s="92"/>
      <c r="AJ271" s="21"/>
      <c r="AK271" s="21"/>
      <c r="AL271" s="21"/>
      <c r="AM271" s="21">
        <v>61.49</v>
      </c>
      <c r="AN271" s="21">
        <v>30.9</v>
      </c>
      <c r="AO271" s="21">
        <v>30.93</v>
      </c>
      <c r="AP271" s="21"/>
      <c r="AQ271" s="21"/>
      <c r="AR271" s="313"/>
      <c r="AS271" s="313"/>
      <c r="AT271" s="313"/>
      <c r="AU271" s="313"/>
      <c r="AV271" s="313"/>
      <c r="AW271" s="313"/>
      <c r="AX271" s="313"/>
      <c r="AY271" s="21">
        <v>61</v>
      </c>
      <c r="AZ271" s="92"/>
      <c r="BA271" s="92"/>
      <c r="BB271" s="11">
        <f>SUM(BB267:BB268,BB245:BB250)</f>
        <v>192</v>
      </c>
      <c r="BC271" s="92"/>
      <c r="BD271" s="92"/>
      <c r="BE271" s="92"/>
      <c r="BF271" s="92"/>
      <c r="BG271" s="92"/>
    </row>
    <row r="272" spans="1:59" x14ac:dyDescent="0.3">
      <c r="A272" s="2" t="s">
        <v>62</v>
      </c>
      <c r="B272" s="2">
        <f>SUM(B251:B266)</f>
        <v>0</v>
      </c>
      <c r="C272" s="2">
        <f>SUM(C251:C266)</f>
        <v>976</v>
      </c>
      <c r="F272" s="40">
        <f>'Hoover with 30 MW Solar'!H30</f>
        <v>9031.0920579999984</v>
      </c>
      <c r="G272" s="40">
        <f>G269*31</f>
        <v>26040</v>
      </c>
      <c r="H272" s="40">
        <f>'Hoover with 30 MW Solar'!H31</f>
        <v>11003</v>
      </c>
      <c r="I272" s="2">
        <f>I269*(31-$AN242)</f>
        <v>6000</v>
      </c>
      <c r="J272" s="2">
        <f t="shared" ref="J272:U272" si="251">J269*(31-$AN242)</f>
        <v>10000</v>
      </c>
      <c r="K272" s="2">
        <f t="shared" si="251"/>
        <v>10000</v>
      </c>
      <c r="L272" s="2">
        <f t="shared" si="251"/>
        <v>0</v>
      </c>
      <c r="M272" s="2">
        <f t="shared" si="251"/>
        <v>0</v>
      </c>
      <c r="N272" s="2">
        <f t="shared" si="251"/>
        <v>0</v>
      </c>
      <c r="O272" s="2">
        <f t="shared" si="251"/>
        <v>0</v>
      </c>
      <c r="P272" s="2">
        <f t="shared" si="251"/>
        <v>0</v>
      </c>
      <c r="Q272" s="2">
        <f t="shared" si="251"/>
        <v>0</v>
      </c>
      <c r="R272" s="2">
        <f t="shared" si="251"/>
        <v>0</v>
      </c>
      <c r="S272" s="2">
        <f t="shared" si="251"/>
        <v>-5000</v>
      </c>
      <c r="T272" s="2">
        <f t="shared" si="251"/>
        <v>0</v>
      </c>
      <c r="U272" s="2">
        <f t="shared" si="251"/>
        <v>-6000</v>
      </c>
      <c r="X272" s="13">
        <f>SUM(X251:X266)</f>
        <v>-295</v>
      </c>
      <c r="Y272" s="313">
        <f>-SUMIF(X259:X266,"&lt;0")*(31-AN242)</f>
        <v>6575</v>
      </c>
      <c r="Z272" s="313" t="s">
        <v>411</v>
      </c>
      <c r="AA272" s="313"/>
      <c r="AE272" s="2" t="s">
        <v>62</v>
      </c>
      <c r="AF272" s="2">
        <f>SUM(AF251:AF266)</f>
        <v>0</v>
      </c>
      <c r="AG272" s="2">
        <f>SUM(AG251:AG266)</f>
        <v>976</v>
      </c>
      <c r="AH272" s="92"/>
      <c r="AI272" s="92"/>
      <c r="AJ272" s="22"/>
      <c r="AK272" s="22"/>
      <c r="AL272" s="22"/>
      <c r="AM272" s="22">
        <f>AM269*$AN242</f>
        <v>1440</v>
      </c>
      <c r="AN272" s="22">
        <f t="shared" ref="AN272:AY272" si="252">AN269*$AN242</f>
        <v>7200</v>
      </c>
      <c r="AO272" s="22">
        <f t="shared" si="252"/>
        <v>7200</v>
      </c>
      <c r="AP272" s="22">
        <f t="shared" si="252"/>
        <v>0</v>
      </c>
      <c r="AQ272" s="22">
        <f t="shared" si="252"/>
        <v>0</v>
      </c>
      <c r="AR272" s="22">
        <f t="shared" si="252"/>
        <v>0</v>
      </c>
      <c r="AS272" s="22">
        <f t="shared" si="252"/>
        <v>0</v>
      </c>
      <c r="AT272" s="22">
        <f t="shared" si="252"/>
        <v>0</v>
      </c>
      <c r="AU272" s="22">
        <f t="shared" si="252"/>
        <v>0</v>
      </c>
      <c r="AV272" s="22">
        <f t="shared" si="252"/>
        <v>0</v>
      </c>
      <c r="AW272" s="22">
        <f t="shared" si="252"/>
        <v>0</v>
      </c>
      <c r="AX272" s="22">
        <f t="shared" si="252"/>
        <v>0</v>
      </c>
      <c r="AY272" s="22">
        <f t="shared" si="252"/>
        <v>-1440</v>
      </c>
      <c r="AZ272" s="92"/>
      <c r="BA272" s="92"/>
      <c r="BB272" s="13">
        <f>SUM(BB251:BB266)</f>
        <v>-2095</v>
      </c>
      <c r="BC272" s="92"/>
      <c r="BD272" s="92"/>
      <c r="BE272" s="92"/>
      <c r="BF272" s="92"/>
      <c r="BG272" s="92"/>
    </row>
    <row r="273" spans="1:59" x14ac:dyDescent="0.3">
      <c r="A273" s="2" t="s">
        <v>63</v>
      </c>
      <c r="B273" s="2">
        <f>SUM(B267:B268,B245:B250)</f>
        <v>686</v>
      </c>
      <c r="C273" s="2">
        <f>SUM(C267:C268,C245:C250)</f>
        <v>488</v>
      </c>
      <c r="D273" s="24"/>
      <c r="E273" s="24"/>
      <c r="F273" s="26">
        <f t="shared" ref="F273:U273" si="253">F272*F271</f>
        <v>225686.99052941994</v>
      </c>
      <c r="G273" s="26">
        <f t="shared" si="253"/>
        <v>1285373.7855</v>
      </c>
      <c r="H273" s="26">
        <f t="shared" si="253"/>
        <v>482701.61</v>
      </c>
      <c r="I273" s="26">
        <f t="shared" si="253"/>
        <v>368940</v>
      </c>
      <c r="J273" s="26">
        <f t="shared" si="253"/>
        <v>309000</v>
      </c>
      <c r="K273" s="26">
        <f t="shared" si="253"/>
        <v>309300</v>
      </c>
      <c r="L273" s="26">
        <f t="shared" si="253"/>
        <v>0</v>
      </c>
      <c r="M273" s="26">
        <f t="shared" si="253"/>
        <v>0</v>
      </c>
      <c r="N273" s="26">
        <f t="shared" si="253"/>
        <v>0</v>
      </c>
      <c r="O273" s="26">
        <f t="shared" si="253"/>
        <v>0</v>
      </c>
      <c r="P273" s="26">
        <f t="shared" si="253"/>
        <v>0</v>
      </c>
      <c r="Q273" s="26">
        <f t="shared" si="253"/>
        <v>0</v>
      </c>
      <c r="R273" s="26">
        <f t="shared" si="253"/>
        <v>0</v>
      </c>
      <c r="S273" s="26">
        <f t="shared" si="253"/>
        <v>-1550000</v>
      </c>
      <c r="T273" s="26">
        <f t="shared" si="253"/>
        <v>0</v>
      </c>
      <c r="U273" s="26">
        <f t="shared" si="253"/>
        <v>0</v>
      </c>
      <c r="V273" s="24"/>
      <c r="W273" s="24"/>
      <c r="X273" s="24"/>
      <c r="Y273" s="313">
        <f>-SUMIF(BB259:BB266,"&lt;0")*AN242+Y272</f>
        <v>14153</v>
      </c>
      <c r="Z273" s="313" t="s">
        <v>412</v>
      </c>
      <c r="AA273" s="24"/>
      <c r="AB273" s="24"/>
      <c r="AC273" s="24"/>
      <c r="AE273" s="2" t="s">
        <v>63</v>
      </c>
      <c r="AF273" s="2">
        <f>SUM(AF267:AF268,AF245:AF250)</f>
        <v>784</v>
      </c>
      <c r="AG273" s="2">
        <f>SUM(AG267:AG268,AG245:AG250)</f>
        <v>488</v>
      </c>
      <c r="AH273" s="24"/>
      <c r="AI273" s="24"/>
      <c r="AJ273" s="25"/>
      <c r="AK273" s="25"/>
      <c r="AL273" s="25"/>
      <c r="AM273" s="26">
        <f t="shared" ref="AM273:AY273" si="254">AM272*AM271</f>
        <v>88545.600000000006</v>
      </c>
      <c r="AN273" s="26">
        <f t="shared" si="254"/>
        <v>222480</v>
      </c>
      <c r="AO273" s="26">
        <f t="shared" si="254"/>
        <v>222696</v>
      </c>
      <c r="AP273" s="26">
        <f t="shared" si="254"/>
        <v>0</v>
      </c>
      <c r="AQ273" s="26">
        <f t="shared" si="254"/>
        <v>0</v>
      </c>
      <c r="AR273" s="26">
        <f t="shared" si="254"/>
        <v>0</v>
      </c>
      <c r="AS273" s="26">
        <f t="shared" si="254"/>
        <v>0</v>
      </c>
      <c r="AT273" s="26">
        <f t="shared" si="254"/>
        <v>0</v>
      </c>
      <c r="AU273" s="26">
        <f t="shared" si="254"/>
        <v>0</v>
      </c>
      <c r="AV273" s="26">
        <f t="shared" si="254"/>
        <v>0</v>
      </c>
      <c r="AW273" s="26">
        <f t="shared" si="254"/>
        <v>0</v>
      </c>
      <c r="AX273" s="26">
        <f t="shared" si="254"/>
        <v>0</v>
      </c>
      <c r="AY273" s="26">
        <f t="shared" si="254"/>
        <v>-87840</v>
      </c>
      <c r="AZ273" s="24"/>
      <c r="BA273" s="24"/>
      <c r="BB273" s="24"/>
      <c r="BC273" s="24"/>
      <c r="BD273" s="24"/>
      <c r="BE273" s="24"/>
      <c r="BF273" s="24"/>
      <c r="BG273" s="24"/>
    </row>
    <row r="274" spans="1:59" x14ac:dyDescent="0.3">
      <c r="A274" s="23"/>
      <c r="B274" s="23"/>
      <c r="C274" s="35" t="s">
        <v>221</v>
      </c>
      <c r="D274" s="117">
        <f>D270+AH270</f>
        <v>67238</v>
      </c>
      <c r="E274" s="23"/>
      <c r="F274" s="24"/>
      <c r="G274" s="24"/>
      <c r="H274" s="24"/>
      <c r="I274" s="116" t="s">
        <v>222</v>
      </c>
      <c r="J274" s="25">
        <f>SUM(F273:T273)+SUM(AM273:AX273)</f>
        <v>1964723.98602942</v>
      </c>
      <c r="K274" s="23"/>
      <c r="L274" s="92"/>
      <c r="M274" s="92"/>
      <c r="W274" s="23"/>
      <c r="X274" s="11">
        <f>X271*(31-AN242)</f>
        <v>2350</v>
      </c>
      <c r="Y274" s="23"/>
      <c r="Z274" s="23"/>
      <c r="AA274" s="23"/>
      <c r="AB274" s="23"/>
      <c r="AC274" s="23"/>
      <c r="AE274" s="23"/>
      <c r="AF274" s="23"/>
      <c r="AG274" s="23"/>
      <c r="AH274" s="23"/>
      <c r="AI274" s="23"/>
      <c r="AJ274" s="23"/>
      <c r="AK274" s="23"/>
      <c r="AL274" s="23"/>
      <c r="AM274" s="23"/>
      <c r="AN274" s="25"/>
      <c r="AO274" s="23"/>
      <c r="AP274" s="92"/>
      <c r="AQ274" s="92"/>
      <c r="AR274" s="92"/>
      <c r="AS274" s="92"/>
      <c r="AT274" s="92"/>
      <c r="AU274" s="92"/>
      <c r="AV274" s="92"/>
      <c r="AW274" s="92"/>
      <c r="AX274" s="92"/>
      <c r="AY274" s="92"/>
      <c r="AZ274" s="92"/>
      <c r="BA274" s="23"/>
      <c r="BB274" s="11">
        <f>BB271*AN242</f>
        <v>1152</v>
      </c>
      <c r="BC274" s="23"/>
      <c r="BD274" s="23"/>
      <c r="BE274" s="23"/>
      <c r="BF274" s="23"/>
      <c r="BG274" s="23"/>
    </row>
    <row r="275" spans="1:59" x14ac:dyDescent="0.3">
      <c r="C275" s="35" t="s">
        <v>131</v>
      </c>
      <c r="D275" s="36">
        <f>D270+AH270-Load!S14</f>
        <v>-629.83357256412273</v>
      </c>
      <c r="F275" s="23"/>
      <c r="G275" s="23"/>
      <c r="H275" s="23"/>
      <c r="I275" s="23" t="s">
        <v>180</v>
      </c>
      <c r="J275" s="22">
        <f>SUM(F272:T272)+SUM(AM272:AX272)</f>
        <v>82914.092057999995</v>
      </c>
      <c r="K275" s="39">
        <f>J275/D274</f>
        <v>1.2331433424254141</v>
      </c>
      <c r="L275" s="92" t="s">
        <v>223</v>
      </c>
      <c r="M275" s="92"/>
      <c r="X275" s="13">
        <f>X272*(31-AN242)</f>
        <v>-7375</v>
      </c>
      <c r="AE275" s="92"/>
      <c r="AF275" s="92"/>
      <c r="AG275" s="35"/>
      <c r="AH275" s="36"/>
      <c r="AI275" s="92"/>
      <c r="AJ275" s="92"/>
      <c r="AK275" s="92"/>
      <c r="AL275" s="92"/>
      <c r="AM275" s="23"/>
      <c r="AN275" s="22"/>
      <c r="AO275" s="39"/>
      <c r="AP275" s="92"/>
      <c r="AQ275" s="92"/>
      <c r="AR275" s="92"/>
      <c r="AS275" s="92"/>
      <c r="AT275" s="92"/>
      <c r="AU275" s="92"/>
      <c r="AV275" s="92"/>
      <c r="AW275" s="92"/>
      <c r="AX275" s="92"/>
      <c r="AY275" s="92"/>
      <c r="AZ275" s="92"/>
      <c r="BA275" s="92"/>
      <c r="BB275" s="13">
        <f>BB272*AN242</f>
        <v>-12570</v>
      </c>
      <c r="BC275" s="92"/>
      <c r="BD275" s="92"/>
      <c r="BE275" s="92"/>
      <c r="BF275" s="92"/>
      <c r="BG275" s="92"/>
    </row>
    <row r="276" spans="1:59" ht="15" thickBot="1" x14ac:dyDescent="0.35">
      <c r="A276" s="313"/>
      <c r="B276" s="313"/>
      <c r="C276" s="35" t="s">
        <v>383</v>
      </c>
      <c r="D276" s="49">
        <f>C271*31*52</f>
        <v>23192</v>
      </c>
      <c r="I276" s="23" t="s">
        <v>47</v>
      </c>
      <c r="J276" s="21">
        <f>J274/J275</f>
        <v>23.695899421476604</v>
      </c>
      <c r="K276" s="39">
        <f>J275/$D270</f>
        <v>1.5425877592186046</v>
      </c>
      <c r="L276" s="92"/>
      <c r="M276" s="92" t="s">
        <v>100</v>
      </c>
      <c r="X276" s="37">
        <f>SUM(X274:X275)+Y270+BB276</f>
        <v>4752</v>
      </c>
      <c r="Y276" t="s">
        <v>159</v>
      </c>
      <c r="AE276" s="23"/>
      <c r="AF276" s="92"/>
      <c r="AG276" s="92"/>
      <c r="AH276" s="92"/>
      <c r="AI276" s="92"/>
      <c r="AJ276" s="92"/>
      <c r="AK276" s="92"/>
      <c r="AL276" s="92"/>
      <c r="AM276" s="23"/>
      <c r="AN276" s="21"/>
      <c r="AO276" s="92"/>
      <c r="AP276" s="92"/>
      <c r="AQ276" s="92"/>
      <c r="AR276" s="92"/>
      <c r="AS276" s="92"/>
      <c r="AT276" s="92"/>
      <c r="AU276" s="92"/>
      <c r="AV276" s="92"/>
      <c r="AW276" s="92"/>
      <c r="AX276" s="92"/>
      <c r="AY276" s="92"/>
      <c r="AZ276" s="92"/>
      <c r="BA276" s="92"/>
      <c r="BB276" s="37">
        <f>SUM(BB274:BB275)+BC270</f>
        <v>1152</v>
      </c>
      <c r="BC276" s="92" t="s">
        <v>218</v>
      </c>
      <c r="BD276" s="92"/>
      <c r="BE276" s="92"/>
      <c r="BF276" s="92"/>
      <c r="BG276" s="92"/>
    </row>
    <row r="277" spans="1:59" x14ac:dyDescent="0.3">
      <c r="A277" s="313"/>
      <c r="B277" s="313"/>
      <c r="C277" s="35" t="s">
        <v>384</v>
      </c>
      <c r="D277" s="36">
        <f>D276-Load!J33</f>
        <v>-1113</v>
      </c>
      <c r="I277" s="67" t="s">
        <v>179</v>
      </c>
      <c r="J277" s="68">
        <f>SUM(I272:R272)+SUM(AM272:AX272)</f>
        <v>41840</v>
      </c>
      <c r="L277" s="92" t="s">
        <v>233</v>
      </c>
      <c r="M277" s="31">
        <f>SUM(I272:L272)+SUM(AM272:AP272)</f>
        <v>41840</v>
      </c>
      <c r="X277" s="93">
        <f>(SUM(X274:X275)+Y270)*Y277+BB278</f>
        <v>332640</v>
      </c>
      <c r="Y277" s="57">
        <v>70</v>
      </c>
      <c r="Z277" t="s">
        <v>160</v>
      </c>
      <c r="AE277" s="23"/>
      <c r="AF277" s="92"/>
      <c r="AG277" s="92"/>
      <c r="AH277" s="92"/>
      <c r="AI277" s="92"/>
      <c r="AJ277" s="92"/>
      <c r="AK277" s="92"/>
      <c r="AL277" s="92"/>
      <c r="AM277" s="92"/>
      <c r="AN277" s="92"/>
      <c r="AO277" s="92"/>
      <c r="AP277" s="92"/>
      <c r="AQ277" s="92"/>
      <c r="AR277" s="92"/>
      <c r="AS277" s="92"/>
      <c r="AT277" s="92"/>
      <c r="AU277" s="92"/>
      <c r="AV277" s="92"/>
      <c r="AW277" s="92"/>
      <c r="AX277" s="92"/>
      <c r="AY277" s="92"/>
      <c r="AZ277" s="92"/>
      <c r="BA277" s="92"/>
      <c r="BB277" s="93">
        <f>BB276*BC277</f>
        <v>80640</v>
      </c>
      <c r="BC277" s="93">
        <f>Y277</f>
        <v>70</v>
      </c>
      <c r="BD277" s="92" t="s">
        <v>160</v>
      </c>
      <c r="BE277" s="92"/>
      <c r="BF277" s="92"/>
      <c r="BG277" s="92"/>
    </row>
    <row r="278" spans="1:59" x14ac:dyDescent="0.3">
      <c r="I278" s="69" t="s">
        <v>18</v>
      </c>
      <c r="J278" s="70">
        <f>SUM(I273:R273)+SUM(AM273:AX273)</f>
        <v>1520961.6</v>
      </c>
      <c r="L278" s="92" t="s">
        <v>235</v>
      </c>
      <c r="M278" s="31">
        <f>SUM(M272:T272)+SUM(AQ272:AX272)</f>
        <v>-5000</v>
      </c>
      <c r="X278" s="79">
        <f>X277+J278</f>
        <v>1853601.6</v>
      </c>
      <c r="Y278" t="s">
        <v>161</v>
      </c>
      <c r="AE278" s="23"/>
      <c r="AF278" s="92"/>
      <c r="AG278" s="92"/>
      <c r="AH278" s="92"/>
      <c r="AI278" s="92"/>
      <c r="AJ278" s="92"/>
      <c r="AK278" s="92"/>
      <c r="AL278" s="92"/>
      <c r="AM278" s="92"/>
      <c r="AN278" s="92"/>
      <c r="AO278" s="92"/>
      <c r="AP278" s="92"/>
      <c r="AQ278" s="92"/>
      <c r="AR278" s="92"/>
      <c r="AS278" s="92"/>
      <c r="AT278" s="92"/>
      <c r="AU278" s="92"/>
      <c r="AV278" s="92"/>
      <c r="AW278" s="92"/>
      <c r="AX278" s="92"/>
      <c r="AY278" s="92"/>
      <c r="AZ278" s="92"/>
      <c r="BA278" s="92"/>
      <c r="BB278" s="79">
        <f>BB277</f>
        <v>80640</v>
      </c>
      <c r="BC278" s="92" t="s">
        <v>219</v>
      </c>
      <c r="BD278" s="92"/>
      <c r="BE278" s="92"/>
      <c r="BF278" s="92"/>
      <c r="BG278" s="92"/>
    </row>
    <row r="279" spans="1:59" ht="15" thickBot="1" x14ac:dyDescent="0.35">
      <c r="I279" s="71" t="s">
        <v>156</v>
      </c>
      <c r="J279" s="72">
        <f>J278/J277</f>
        <v>36.351854684512432</v>
      </c>
      <c r="W279" s="38" t="s">
        <v>193</v>
      </c>
      <c r="X279" s="80">
        <f>J277+X276</f>
        <v>46592</v>
      </c>
      <c r="Y279" s="79">
        <f>X278/X279</f>
        <v>39.783688186813187</v>
      </c>
    </row>
    <row r="280" spans="1:59" x14ac:dyDescent="0.3">
      <c r="AA280" s="313" t="s">
        <v>462</v>
      </c>
      <c r="AE280" s="92"/>
      <c r="AF280" s="92"/>
      <c r="AG280" s="92"/>
      <c r="AH280" s="92"/>
      <c r="AI280" s="92"/>
      <c r="AJ280" s="92"/>
      <c r="AK280" s="92"/>
      <c r="AL280" s="92"/>
      <c r="AM280" s="92"/>
      <c r="AN280" s="115" t="s">
        <v>215</v>
      </c>
      <c r="AO280" s="92"/>
      <c r="AP280" s="92"/>
      <c r="AQ280" s="92"/>
      <c r="AR280" s="92"/>
      <c r="AS280" s="92"/>
      <c r="AT280" s="92"/>
      <c r="AU280" s="92"/>
      <c r="AV280" s="92"/>
      <c r="AW280" s="92"/>
      <c r="AX280" s="92"/>
      <c r="AY280" s="92"/>
      <c r="AZ280" s="92"/>
      <c r="BA280" s="92"/>
      <c r="BB280" s="92"/>
      <c r="BC280" s="92"/>
      <c r="BD280" s="92"/>
      <c r="BE280" s="92"/>
      <c r="BF280" s="92"/>
      <c r="BG280" s="92"/>
    </row>
    <row r="281" spans="1:59" ht="15" thickBot="1" x14ac:dyDescent="0.35">
      <c r="A281" s="2" t="s">
        <v>57</v>
      </c>
      <c r="F281" s="87"/>
      <c r="M281" s="307" t="s">
        <v>375</v>
      </c>
      <c r="N281" s="309" t="s">
        <v>375</v>
      </c>
      <c r="X281" s="91" t="s">
        <v>0</v>
      </c>
      <c r="Z281" s="481" t="s">
        <v>1</v>
      </c>
      <c r="AA281" s="483"/>
      <c r="AB281" s="482"/>
      <c r="AC281" s="1" t="s">
        <v>75</v>
      </c>
      <c r="AE281" s="2" t="s">
        <v>57</v>
      </c>
      <c r="AF281" s="92"/>
      <c r="AG281" s="92"/>
      <c r="AH281" s="92"/>
      <c r="AI281" s="92"/>
      <c r="AJ281" s="92"/>
      <c r="AK281" s="92"/>
      <c r="AL281" s="92"/>
      <c r="AM281" s="37" t="s">
        <v>214</v>
      </c>
      <c r="AN281" s="322">
        <v>4</v>
      </c>
      <c r="AO281" s="313"/>
      <c r="AP281" s="313"/>
      <c r="AQ281" s="313"/>
      <c r="AR281" s="313"/>
      <c r="AS281" s="313"/>
      <c r="AT281" s="313"/>
      <c r="AU281" s="313"/>
      <c r="AV281" s="313"/>
      <c r="AW281" s="313"/>
      <c r="AX281" s="313"/>
      <c r="AY281" s="313"/>
      <c r="AZ281" s="92"/>
      <c r="BA281" s="92"/>
      <c r="BB281" s="114" t="s">
        <v>0</v>
      </c>
      <c r="BC281" s="92"/>
      <c r="BD281" s="481" t="s">
        <v>1</v>
      </c>
      <c r="BE281" s="483"/>
      <c r="BF281" s="482"/>
      <c r="BG281" s="1" t="s">
        <v>75</v>
      </c>
    </row>
    <row r="282" spans="1:59" x14ac:dyDescent="0.3">
      <c r="F282" s="87" t="s">
        <v>415</v>
      </c>
      <c r="I282" s="73" t="s">
        <v>225</v>
      </c>
      <c r="J282" s="74" t="s">
        <v>50</v>
      </c>
      <c r="K282" s="74" t="s">
        <v>224</v>
      </c>
      <c r="L282" s="74"/>
      <c r="M282" s="74"/>
      <c r="N282" s="104"/>
      <c r="O282" s="104"/>
      <c r="P282" s="104"/>
      <c r="Q282" s="104"/>
      <c r="R282" s="104"/>
      <c r="S282" s="104" t="s">
        <v>460</v>
      </c>
      <c r="T282" s="104"/>
      <c r="U282" s="105" t="s">
        <v>238</v>
      </c>
      <c r="X282" s="3" t="s">
        <v>4</v>
      </c>
      <c r="Z282" s="3" t="s">
        <v>4</v>
      </c>
      <c r="AA282" s="4" t="s">
        <v>4</v>
      </c>
      <c r="AB282" s="5" t="s">
        <v>4</v>
      </c>
      <c r="AC282" s="5" t="s">
        <v>6</v>
      </c>
      <c r="AE282" s="92"/>
      <c r="AF282" s="92"/>
      <c r="AG282" s="92"/>
      <c r="AH282" s="92"/>
      <c r="AI282" s="92"/>
      <c r="AJ282" s="92"/>
      <c r="AK282" s="92"/>
      <c r="AL282" s="92"/>
      <c r="AM282" s="73" t="s">
        <v>225</v>
      </c>
      <c r="AN282" s="74" t="s">
        <v>50</v>
      </c>
      <c r="AO282" s="74" t="s">
        <v>224</v>
      </c>
      <c r="AP282" s="74"/>
      <c r="AQ282" s="74"/>
      <c r="AR282" s="74"/>
      <c r="AS282" s="104"/>
      <c r="AT282" s="104"/>
      <c r="AU282" s="104"/>
      <c r="AV282" s="104"/>
      <c r="AW282" s="104"/>
      <c r="AX282" s="104"/>
      <c r="AY282" s="105" t="s">
        <v>238</v>
      </c>
      <c r="AZ282" s="92"/>
      <c r="BA282" s="92"/>
      <c r="BB282" s="3" t="s">
        <v>4</v>
      </c>
      <c r="BC282" s="92"/>
      <c r="BD282" s="3" t="s">
        <v>4</v>
      </c>
      <c r="BE282" s="4" t="s">
        <v>4</v>
      </c>
      <c r="BF282" s="5" t="s">
        <v>4</v>
      </c>
      <c r="BG282" s="5" t="s">
        <v>6</v>
      </c>
    </row>
    <row r="283" spans="1:59" ht="15" thickBot="1" x14ac:dyDescent="0.35">
      <c r="A283" s="2" t="s">
        <v>7</v>
      </c>
      <c r="B283" s="2" t="s">
        <v>8</v>
      </c>
      <c r="C283" s="2" t="s">
        <v>9</v>
      </c>
      <c r="D283" s="2" t="s">
        <v>10</v>
      </c>
      <c r="E283" s="2" t="s">
        <v>7</v>
      </c>
      <c r="F283" s="2" t="s">
        <v>11</v>
      </c>
      <c r="G283" s="2" t="s">
        <v>12</v>
      </c>
      <c r="H283" s="2" t="s">
        <v>13</v>
      </c>
      <c r="I283" s="75" t="s">
        <v>15</v>
      </c>
      <c r="J283" s="76" t="s">
        <v>15</v>
      </c>
      <c r="K283" s="76" t="s">
        <v>15</v>
      </c>
      <c r="L283" s="76"/>
      <c r="M283" s="76"/>
      <c r="N283" s="106"/>
      <c r="O283" s="106"/>
      <c r="P283" s="106"/>
      <c r="Q283" s="106"/>
      <c r="R283" s="106"/>
      <c r="S283" s="106" t="s">
        <v>461</v>
      </c>
      <c r="T283" s="106"/>
      <c r="U283" s="107" t="s">
        <v>15</v>
      </c>
      <c r="V283" s="2" t="s">
        <v>16</v>
      </c>
      <c r="X283" s="6" t="s">
        <v>17</v>
      </c>
      <c r="Z283" s="6" t="s">
        <v>5</v>
      </c>
      <c r="AA283" s="7" t="s">
        <v>15</v>
      </c>
      <c r="AB283" s="8" t="s">
        <v>18</v>
      </c>
      <c r="AC283" s="8" t="s">
        <v>0</v>
      </c>
      <c r="AE283" s="2" t="s">
        <v>7</v>
      </c>
      <c r="AF283" s="2" t="s">
        <v>8</v>
      </c>
      <c r="AG283" s="2" t="s">
        <v>9</v>
      </c>
      <c r="AH283" s="2" t="s">
        <v>10</v>
      </c>
      <c r="AI283" s="2" t="s">
        <v>7</v>
      </c>
      <c r="AJ283" s="2" t="s">
        <v>11</v>
      </c>
      <c r="AK283" s="2" t="s">
        <v>12</v>
      </c>
      <c r="AL283" s="2" t="s">
        <v>13</v>
      </c>
      <c r="AM283" s="75" t="s">
        <v>15</v>
      </c>
      <c r="AN283" s="76" t="s">
        <v>15</v>
      </c>
      <c r="AO283" s="76" t="s">
        <v>15</v>
      </c>
      <c r="AP283" s="76"/>
      <c r="AQ283" s="76"/>
      <c r="AR283" s="76"/>
      <c r="AS283" s="106"/>
      <c r="AT283" s="106"/>
      <c r="AU283" s="106"/>
      <c r="AV283" s="106"/>
      <c r="AW283" s="106"/>
      <c r="AX283" s="106"/>
      <c r="AY283" s="107" t="s">
        <v>15</v>
      </c>
      <c r="AZ283" s="2" t="s">
        <v>16</v>
      </c>
      <c r="BA283" s="92"/>
      <c r="BB283" s="6" t="s">
        <v>17</v>
      </c>
      <c r="BC283" s="92"/>
      <c r="BD283" s="6" t="s">
        <v>5</v>
      </c>
      <c r="BE283" s="7" t="s">
        <v>15</v>
      </c>
      <c r="BF283" s="8" t="s">
        <v>18</v>
      </c>
      <c r="BG283" s="8" t="s">
        <v>0</v>
      </c>
    </row>
    <row r="284" spans="1:59" x14ac:dyDescent="0.3">
      <c r="A284" s="9" t="s">
        <v>19</v>
      </c>
      <c r="B284" s="99">
        <v>98</v>
      </c>
      <c r="C284" s="99">
        <f>ROUND(Load!$K$43+'2022'!$E$309*0.485/744,0)</f>
        <v>55</v>
      </c>
      <c r="D284" s="2">
        <f t="shared" ref="D284:D307" si="255">SUM(B284:C284)</f>
        <v>153</v>
      </c>
      <c r="E284" s="9" t="s">
        <v>19</v>
      </c>
      <c r="F284" s="2"/>
      <c r="G284" s="2">
        <v>35</v>
      </c>
      <c r="H284" s="2"/>
      <c r="I284" s="73"/>
      <c r="J284" s="74">
        <v>50</v>
      </c>
      <c r="K284" s="74">
        <v>50</v>
      </c>
      <c r="L284" s="74"/>
      <c r="M284" s="74"/>
      <c r="N284" s="104"/>
      <c r="O284" s="104"/>
      <c r="P284" s="104"/>
      <c r="Q284" s="104"/>
      <c r="R284" s="104"/>
      <c r="S284" s="104"/>
      <c r="T284" s="104"/>
      <c r="U284" s="105"/>
      <c r="V284" s="2">
        <f t="shared" ref="V284:V307" si="256">SUM(F284:U284)</f>
        <v>135</v>
      </c>
      <c r="W284" s="10"/>
      <c r="X284" s="11">
        <f t="shared" ref="X284:X307" si="257">D284-V284</f>
        <v>18</v>
      </c>
      <c r="Y284" s="10"/>
      <c r="Z284" s="12">
        <f t="shared" ref="Z284:Z307" si="258">142-F284-H284</f>
        <v>142</v>
      </c>
      <c r="AA284" s="12">
        <f>217-I284-J284-K284</f>
        <v>117</v>
      </c>
      <c r="AB284" s="2">
        <f t="shared" ref="AB284:AB307" si="259">Z284+AA284</f>
        <v>259</v>
      </c>
      <c r="AC284" s="2">
        <f t="shared" ref="AC284:AC307" si="260">Z284+AA284-X284</f>
        <v>241</v>
      </c>
      <c r="AE284" s="9" t="s">
        <v>19</v>
      </c>
      <c r="AF284" s="314">
        <v>98</v>
      </c>
      <c r="AG284" s="99">
        <f>ROUND(Load!$K$43+'2022'!$E$309*0.485/744,0)</f>
        <v>55</v>
      </c>
      <c r="AH284" s="2">
        <f t="shared" ref="AH284:AH307" si="261">SUM(AF284:AG284)</f>
        <v>153</v>
      </c>
      <c r="AI284" s="9" t="s">
        <v>19</v>
      </c>
      <c r="AJ284" s="2"/>
      <c r="AK284" s="2">
        <v>35</v>
      </c>
      <c r="AL284" s="314"/>
      <c r="AM284" s="73"/>
      <c r="AN284" s="74">
        <v>50</v>
      </c>
      <c r="AO284" s="74">
        <v>50</v>
      </c>
      <c r="AP284" s="74"/>
      <c r="AQ284" s="74"/>
      <c r="AR284" s="74"/>
      <c r="AS284" s="104"/>
      <c r="AT284" s="104"/>
      <c r="AU284" s="104"/>
      <c r="AV284" s="104"/>
      <c r="AW284" s="104"/>
      <c r="AX284" s="104"/>
      <c r="AY284" s="105"/>
      <c r="AZ284" s="2">
        <f t="shared" ref="AZ284:AZ307" si="262">SUM(AJ284:AY284)</f>
        <v>135</v>
      </c>
      <c r="BA284" s="10"/>
      <c r="BB284" s="11">
        <f t="shared" ref="BB284:BB307" si="263">AH284-AZ284</f>
        <v>18</v>
      </c>
      <c r="BC284" s="10"/>
      <c r="BD284" s="12">
        <f t="shared" ref="BD284:BD307" si="264">142-AJ284-AL284</f>
        <v>142</v>
      </c>
      <c r="BE284" s="12">
        <f>217-AM284-AN284-AO284</f>
        <v>117</v>
      </c>
      <c r="BF284" s="2">
        <f t="shared" ref="BF284:BF307" si="265">BD284+BE284</f>
        <v>259</v>
      </c>
      <c r="BG284" s="2">
        <f t="shared" ref="BG284:BG307" si="266">BD284+BE284-BB284</f>
        <v>241</v>
      </c>
    </row>
    <row r="285" spans="1:59" x14ac:dyDescent="0.3">
      <c r="A285" s="9" t="s">
        <v>20</v>
      </c>
      <c r="B285" s="99">
        <v>98</v>
      </c>
      <c r="C285" s="99">
        <f>ROUND(Load!$K$43+'2022'!$E$309*0.485/744,0)</f>
        <v>55</v>
      </c>
      <c r="D285" s="2">
        <f t="shared" si="255"/>
        <v>153</v>
      </c>
      <c r="E285" s="9" t="s">
        <v>20</v>
      </c>
      <c r="F285" s="2"/>
      <c r="G285" s="2">
        <v>35</v>
      </c>
      <c r="H285" s="2"/>
      <c r="I285" s="77"/>
      <c r="J285" s="78">
        <v>50</v>
      </c>
      <c r="K285" s="78">
        <v>50</v>
      </c>
      <c r="L285" s="78"/>
      <c r="M285" s="78"/>
      <c r="N285" s="108"/>
      <c r="O285" s="108"/>
      <c r="P285" s="108"/>
      <c r="Q285" s="108"/>
      <c r="R285" s="108"/>
      <c r="S285" s="108"/>
      <c r="T285" s="108"/>
      <c r="U285" s="109"/>
      <c r="V285" s="2">
        <f t="shared" si="256"/>
        <v>135</v>
      </c>
      <c r="W285" s="10"/>
      <c r="X285" s="11">
        <f t="shared" si="257"/>
        <v>18</v>
      </c>
      <c r="Y285" s="10"/>
      <c r="Z285" s="12">
        <f>142-F285-H285</f>
        <v>142</v>
      </c>
      <c r="AA285" s="12">
        <f t="shared" ref="AA285:AA307" si="267">217-I285-J285-K285</f>
        <v>117</v>
      </c>
      <c r="AB285" s="2">
        <f t="shared" si="259"/>
        <v>259</v>
      </c>
      <c r="AC285" s="2">
        <f t="shared" si="260"/>
        <v>241</v>
      </c>
      <c r="AE285" s="9" t="s">
        <v>20</v>
      </c>
      <c r="AF285" s="314">
        <v>98</v>
      </c>
      <c r="AG285" s="99">
        <f>ROUND(Load!$K$43+'2022'!$E$309*0.485/744,0)</f>
        <v>55</v>
      </c>
      <c r="AH285" s="2">
        <f t="shared" si="261"/>
        <v>153</v>
      </c>
      <c r="AI285" s="9" t="s">
        <v>20</v>
      </c>
      <c r="AJ285" s="2"/>
      <c r="AK285" s="2">
        <v>35</v>
      </c>
      <c r="AL285" s="314"/>
      <c r="AM285" s="77"/>
      <c r="AN285" s="78">
        <v>50</v>
      </c>
      <c r="AO285" s="78">
        <v>50</v>
      </c>
      <c r="AP285" s="78"/>
      <c r="AQ285" s="78"/>
      <c r="AR285" s="78"/>
      <c r="AS285" s="108"/>
      <c r="AT285" s="108"/>
      <c r="AU285" s="108"/>
      <c r="AV285" s="108"/>
      <c r="AW285" s="108"/>
      <c r="AX285" s="108"/>
      <c r="AY285" s="109"/>
      <c r="AZ285" s="2">
        <f t="shared" si="262"/>
        <v>135</v>
      </c>
      <c r="BA285" s="10"/>
      <c r="BB285" s="11">
        <f t="shared" si="263"/>
        <v>18</v>
      </c>
      <c r="BC285" s="10"/>
      <c r="BD285" s="12">
        <f t="shared" si="264"/>
        <v>142</v>
      </c>
      <c r="BE285" s="12">
        <f t="shared" ref="BE285:BE307" si="268">217-AM285-AN285-AO285</f>
        <v>117</v>
      </c>
      <c r="BF285" s="2">
        <f t="shared" si="265"/>
        <v>259</v>
      </c>
      <c r="BG285" s="2">
        <f t="shared" si="266"/>
        <v>241</v>
      </c>
    </row>
    <row r="286" spans="1:59" x14ac:dyDescent="0.3">
      <c r="A286" s="9" t="s">
        <v>21</v>
      </c>
      <c r="B286" s="99">
        <v>98</v>
      </c>
      <c r="C286" s="99">
        <f>ROUND(Load!$K$43+'2022'!$E$309*0.485/744,0)</f>
        <v>55</v>
      </c>
      <c r="D286" s="2">
        <f t="shared" si="255"/>
        <v>153</v>
      </c>
      <c r="E286" s="9" t="s">
        <v>21</v>
      </c>
      <c r="F286" s="2"/>
      <c r="G286" s="2">
        <v>35</v>
      </c>
      <c r="H286" s="2"/>
      <c r="I286" s="77"/>
      <c r="J286" s="78">
        <v>50</v>
      </c>
      <c r="K286" s="78">
        <v>50</v>
      </c>
      <c r="L286" s="78"/>
      <c r="M286" s="78"/>
      <c r="N286" s="108"/>
      <c r="O286" s="108"/>
      <c r="P286" s="108"/>
      <c r="Q286" s="108"/>
      <c r="R286" s="108"/>
      <c r="S286" s="108"/>
      <c r="T286" s="108"/>
      <c r="U286" s="109"/>
      <c r="V286" s="2">
        <f t="shared" si="256"/>
        <v>135</v>
      </c>
      <c r="W286" s="10"/>
      <c r="X286" s="11">
        <f t="shared" si="257"/>
        <v>18</v>
      </c>
      <c r="Y286" s="10"/>
      <c r="Z286" s="12">
        <f t="shared" si="258"/>
        <v>142</v>
      </c>
      <c r="AA286" s="12">
        <f t="shared" si="267"/>
        <v>117</v>
      </c>
      <c r="AB286" s="2">
        <f t="shared" si="259"/>
        <v>259</v>
      </c>
      <c r="AC286" s="2">
        <f t="shared" si="260"/>
        <v>241</v>
      </c>
      <c r="AE286" s="9" t="s">
        <v>21</v>
      </c>
      <c r="AF286" s="314">
        <v>98</v>
      </c>
      <c r="AG286" s="99">
        <f>ROUND(Load!$K$43+'2022'!$E$309*0.485/744,0)</f>
        <v>55</v>
      </c>
      <c r="AH286" s="2">
        <f t="shared" si="261"/>
        <v>153</v>
      </c>
      <c r="AI286" s="9" t="s">
        <v>21</v>
      </c>
      <c r="AJ286" s="2"/>
      <c r="AK286" s="2">
        <v>35</v>
      </c>
      <c r="AL286" s="314"/>
      <c r="AM286" s="77"/>
      <c r="AN286" s="78">
        <v>50</v>
      </c>
      <c r="AO286" s="78">
        <v>50</v>
      </c>
      <c r="AP286" s="78"/>
      <c r="AQ286" s="78"/>
      <c r="AR286" s="78"/>
      <c r="AS286" s="108"/>
      <c r="AT286" s="108"/>
      <c r="AU286" s="108"/>
      <c r="AV286" s="108"/>
      <c r="AW286" s="108"/>
      <c r="AX286" s="108"/>
      <c r="AY286" s="109"/>
      <c r="AZ286" s="2">
        <f t="shared" si="262"/>
        <v>135</v>
      </c>
      <c r="BA286" s="10"/>
      <c r="BB286" s="11">
        <f t="shared" si="263"/>
        <v>18</v>
      </c>
      <c r="BC286" s="10"/>
      <c r="BD286" s="12">
        <f t="shared" si="264"/>
        <v>142</v>
      </c>
      <c r="BE286" s="12">
        <f t="shared" si="268"/>
        <v>117</v>
      </c>
      <c r="BF286" s="2">
        <f t="shared" si="265"/>
        <v>259</v>
      </c>
      <c r="BG286" s="2">
        <f t="shared" si="266"/>
        <v>241</v>
      </c>
    </row>
    <row r="287" spans="1:59" x14ac:dyDescent="0.3">
      <c r="A287" s="9" t="s">
        <v>22</v>
      </c>
      <c r="B287" s="99">
        <v>98</v>
      </c>
      <c r="C287" s="99">
        <f>ROUND(Load!$K$43+'2022'!$E$309*0.485/744,0)</f>
        <v>55</v>
      </c>
      <c r="D287" s="2">
        <f t="shared" si="255"/>
        <v>153</v>
      </c>
      <c r="E287" s="9" t="s">
        <v>22</v>
      </c>
      <c r="F287" s="2"/>
      <c r="G287" s="2">
        <v>35</v>
      </c>
      <c r="H287" s="2"/>
      <c r="I287" s="77"/>
      <c r="J287" s="78">
        <v>50</v>
      </c>
      <c r="K287" s="78">
        <v>50</v>
      </c>
      <c r="L287" s="78"/>
      <c r="M287" s="78"/>
      <c r="N287" s="108"/>
      <c r="O287" s="108"/>
      <c r="P287" s="108"/>
      <c r="Q287" s="108"/>
      <c r="R287" s="108"/>
      <c r="S287" s="108"/>
      <c r="T287" s="108"/>
      <c r="U287" s="109"/>
      <c r="V287" s="2">
        <f t="shared" si="256"/>
        <v>135</v>
      </c>
      <c r="W287" s="10"/>
      <c r="X287" s="11">
        <f t="shared" si="257"/>
        <v>18</v>
      </c>
      <c r="Y287" s="10"/>
      <c r="Z287" s="12">
        <f>142-F287-H287</f>
        <v>142</v>
      </c>
      <c r="AA287" s="12">
        <f t="shared" si="267"/>
        <v>117</v>
      </c>
      <c r="AB287" s="2">
        <f t="shared" si="259"/>
        <v>259</v>
      </c>
      <c r="AC287" s="2">
        <f t="shared" si="260"/>
        <v>241</v>
      </c>
      <c r="AE287" s="9" t="s">
        <v>22</v>
      </c>
      <c r="AF287" s="314">
        <v>98</v>
      </c>
      <c r="AG287" s="99">
        <f>ROUND(Load!$K$43+'2022'!$E$309*0.485/744,0)</f>
        <v>55</v>
      </c>
      <c r="AH287" s="2">
        <f t="shared" si="261"/>
        <v>153</v>
      </c>
      <c r="AI287" s="9" t="s">
        <v>22</v>
      </c>
      <c r="AJ287" s="2"/>
      <c r="AK287" s="2">
        <v>35</v>
      </c>
      <c r="AL287" s="314"/>
      <c r="AM287" s="77"/>
      <c r="AN287" s="78">
        <v>50</v>
      </c>
      <c r="AO287" s="78">
        <v>50</v>
      </c>
      <c r="AP287" s="78"/>
      <c r="AQ287" s="78"/>
      <c r="AR287" s="78"/>
      <c r="AS287" s="108"/>
      <c r="AT287" s="108"/>
      <c r="AU287" s="108"/>
      <c r="AV287" s="108"/>
      <c r="AW287" s="108"/>
      <c r="AX287" s="108"/>
      <c r="AY287" s="109"/>
      <c r="AZ287" s="2">
        <f t="shared" si="262"/>
        <v>135</v>
      </c>
      <c r="BA287" s="10"/>
      <c r="BB287" s="11">
        <f t="shared" si="263"/>
        <v>18</v>
      </c>
      <c r="BC287" s="10"/>
      <c r="BD287" s="12">
        <f t="shared" si="264"/>
        <v>142</v>
      </c>
      <c r="BE287" s="12">
        <f t="shared" si="268"/>
        <v>117</v>
      </c>
      <c r="BF287" s="2">
        <f t="shared" si="265"/>
        <v>259</v>
      </c>
      <c r="BG287" s="2">
        <f t="shared" si="266"/>
        <v>241</v>
      </c>
    </row>
    <row r="288" spans="1:59" x14ac:dyDescent="0.3">
      <c r="A288" s="9" t="s">
        <v>23</v>
      </c>
      <c r="B288" s="99">
        <v>98</v>
      </c>
      <c r="C288" s="99">
        <f>ROUND(Load!$K$43+'2022'!$E$309*0.485/744,0)</f>
        <v>55</v>
      </c>
      <c r="D288" s="2">
        <f t="shared" si="255"/>
        <v>153</v>
      </c>
      <c r="E288" s="9" t="s">
        <v>23</v>
      </c>
      <c r="F288" s="2"/>
      <c r="G288" s="2">
        <v>35</v>
      </c>
      <c r="H288" s="2"/>
      <c r="I288" s="77"/>
      <c r="J288" s="78">
        <v>50</v>
      </c>
      <c r="K288" s="78">
        <v>50</v>
      </c>
      <c r="L288" s="78"/>
      <c r="M288" s="78"/>
      <c r="N288" s="108"/>
      <c r="O288" s="108"/>
      <c r="P288" s="108"/>
      <c r="Q288" s="108"/>
      <c r="R288" s="108"/>
      <c r="S288" s="108"/>
      <c r="T288" s="108"/>
      <c r="U288" s="109"/>
      <c r="V288" s="2">
        <f t="shared" si="256"/>
        <v>135</v>
      </c>
      <c r="W288" s="10"/>
      <c r="X288" s="11">
        <f t="shared" si="257"/>
        <v>18</v>
      </c>
      <c r="Y288" s="10"/>
      <c r="Z288" s="12">
        <f t="shared" si="258"/>
        <v>142</v>
      </c>
      <c r="AA288" s="12">
        <f t="shared" si="267"/>
        <v>117</v>
      </c>
      <c r="AB288" s="2">
        <f t="shared" si="259"/>
        <v>259</v>
      </c>
      <c r="AC288" s="2">
        <f t="shared" si="260"/>
        <v>241</v>
      </c>
      <c r="AE288" s="9" t="s">
        <v>23</v>
      </c>
      <c r="AF288" s="314">
        <v>98</v>
      </c>
      <c r="AG288" s="99">
        <f>ROUND(Load!$K$43+'2022'!$E$309*0.485/744,0)</f>
        <v>55</v>
      </c>
      <c r="AH288" s="2">
        <f t="shared" si="261"/>
        <v>153</v>
      </c>
      <c r="AI288" s="9" t="s">
        <v>23</v>
      </c>
      <c r="AJ288" s="2"/>
      <c r="AK288" s="2">
        <v>35</v>
      </c>
      <c r="AL288" s="314"/>
      <c r="AM288" s="77"/>
      <c r="AN288" s="78">
        <v>50</v>
      </c>
      <c r="AO288" s="78">
        <v>50</v>
      </c>
      <c r="AP288" s="78"/>
      <c r="AQ288" s="78"/>
      <c r="AR288" s="78"/>
      <c r="AS288" s="108"/>
      <c r="AT288" s="108"/>
      <c r="AU288" s="108"/>
      <c r="AV288" s="108"/>
      <c r="AW288" s="108"/>
      <c r="AX288" s="108"/>
      <c r="AY288" s="109"/>
      <c r="AZ288" s="2">
        <f t="shared" si="262"/>
        <v>135</v>
      </c>
      <c r="BA288" s="10"/>
      <c r="BB288" s="11">
        <f t="shared" si="263"/>
        <v>18</v>
      </c>
      <c r="BC288" s="10"/>
      <c r="BD288" s="12">
        <f t="shared" si="264"/>
        <v>142</v>
      </c>
      <c r="BE288" s="12">
        <f t="shared" si="268"/>
        <v>117</v>
      </c>
      <c r="BF288" s="2">
        <f t="shared" si="265"/>
        <v>259</v>
      </c>
      <c r="BG288" s="2">
        <f t="shared" si="266"/>
        <v>241</v>
      </c>
    </row>
    <row r="289" spans="1:59" x14ac:dyDescent="0.3">
      <c r="A289" s="9" t="s">
        <v>24</v>
      </c>
      <c r="B289" s="99">
        <v>98</v>
      </c>
      <c r="C289" s="99">
        <f>ROUND(Load!$K$43+'2022'!$E$309*0.485/744,0)</f>
        <v>55</v>
      </c>
      <c r="D289" s="2">
        <f t="shared" si="255"/>
        <v>153</v>
      </c>
      <c r="E289" s="9" t="s">
        <v>24</v>
      </c>
      <c r="F289" s="2"/>
      <c r="G289" s="2">
        <v>35</v>
      </c>
      <c r="H289" s="2"/>
      <c r="I289" s="77"/>
      <c r="J289" s="78">
        <v>50</v>
      </c>
      <c r="K289" s="78">
        <v>50</v>
      </c>
      <c r="L289" s="78"/>
      <c r="M289" s="78"/>
      <c r="N289" s="108"/>
      <c r="O289" s="108"/>
      <c r="P289" s="108"/>
      <c r="Q289" s="108"/>
      <c r="R289" s="108"/>
      <c r="S289" s="108"/>
      <c r="T289" s="108"/>
      <c r="U289" s="109"/>
      <c r="V289" s="2">
        <f t="shared" si="256"/>
        <v>135</v>
      </c>
      <c r="W289" s="10"/>
      <c r="X289" s="11">
        <f t="shared" si="257"/>
        <v>18</v>
      </c>
      <c r="Y289" s="10"/>
      <c r="Z289" s="12">
        <f t="shared" si="258"/>
        <v>142</v>
      </c>
      <c r="AA289" s="12">
        <f t="shared" si="267"/>
        <v>117</v>
      </c>
      <c r="AB289" s="2">
        <f t="shared" si="259"/>
        <v>259</v>
      </c>
      <c r="AC289" s="2">
        <f t="shared" si="260"/>
        <v>241</v>
      </c>
      <c r="AE289" s="9" t="s">
        <v>24</v>
      </c>
      <c r="AF289" s="314">
        <v>98</v>
      </c>
      <c r="AG289" s="99">
        <f>ROUND(Load!$K$43+'2022'!$E$309*0.485/744,0)</f>
        <v>55</v>
      </c>
      <c r="AH289" s="2">
        <f t="shared" si="261"/>
        <v>153</v>
      </c>
      <c r="AI289" s="9" t="s">
        <v>24</v>
      </c>
      <c r="AJ289" s="2"/>
      <c r="AK289" s="2">
        <v>35</v>
      </c>
      <c r="AL289" s="314"/>
      <c r="AM289" s="77"/>
      <c r="AN289" s="78">
        <v>50</v>
      </c>
      <c r="AO289" s="78">
        <v>50</v>
      </c>
      <c r="AP289" s="78"/>
      <c r="AQ289" s="78"/>
      <c r="AR289" s="78"/>
      <c r="AS289" s="108"/>
      <c r="AT289" s="108"/>
      <c r="AU289" s="108"/>
      <c r="AV289" s="108"/>
      <c r="AW289" s="108"/>
      <c r="AX289" s="108"/>
      <c r="AY289" s="109"/>
      <c r="AZ289" s="2">
        <f t="shared" si="262"/>
        <v>135</v>
      </c>
      <c r="BA289" s="10"/>
      <c r="BB289" s="11">
        <f t="shared" si="263"/>
        <v>18</v>
      </c>
      <c r="BC289" s="10"/>
      <c r="BD289" s="12">
        <f>142-AJ289-AL289</f>
        <v>142</v>
      </c>
      <c r="BE289" s="12">
        <f t="shared" si="268"/>
        <v>117</v>
      </c>
      <c r="BF289" s="2">
        <f t="shared" si="265"/>
        <v>259</v>
      </c>
      <c r="BG289" s="2">
        <f t="shared" si="266"/>
        <v>241</v>
      </c>
    </row>
    <row r="290" spans="1:59" x14ac:dyDescent="0.3">
      <c r="A290" s="9" t="s">
        <v>25</v>
      </c>
      <c r="B290" s="99"/>
      <c r="C290" s="99">
        <f>ROUND(Load!$K$43+'2022'!$E$309*0.485/744,0)</f>
        <v>55</v>
      </c>
      <c r="D290" s="2">
        <f t="shared" si="255"/>
        <v>55</v>
      </c>
      <c r="E290" s="9" t="s">
        <v>25</v>
      </c>
      <c r="F290" s="2">
        <f>'Hoover with 30 MW Solar'!$I$39</f>
        <v>30</v>
      </c>
      <c r="G290" s="2">
        <v>35</v>
      </c>
      <c r="H290" s="2"/>
      <c r="I290" s="77">
        <v>15</v>
      </c>
      <c r="J290" s="78"/>
      <c r="K290" s="78"/>
      <c r="L290" s="78"/>
      <c r="M290" s="78"/>
      <c r="N290" s="108"/>
      <c r="O290" s="108"/>
      <c r="P290" s="108"/>
      <c r="Q290" s="108"/>
      <c r="R290" s="108"/>
      <c r="S290" s="108"/>
      <c r="T290" s="108"/>
      <c r="U290" s="109">
        <v>-15</v>
      </c>
      <c r="V290" s="2">
        <f t="shared" si="256"/>
        <v>65</v>
      </c>
      <c r="W290" s="10"/>
      <c r="X290" s="13">
        <f t="shared" si="257"/>
        <v>-10</v>
      </c>
      <c r="Y290" s="10"/>
      <c r="Z290" s="14">
        <f t="shared" si="258"/>
        <v>112</v>
      </c>
      <c r="AA290" s="14">
        <f>217-I290-J290-K290-100</f>
        <v>102</v>
      </c>
      <c r="AB290" s="2">
        <f t="shared" si="259"/>
        <v>214</v>
      </c>
      <c r="AC290" s="2">
        <f t="shared" si="260"/>
        <v>224</v>
      </c>
      <c r="AE290" s="9" t="s">
        <v>25</v>
      </c>
      <c r="AF290" s="314"/>
      <c r="AG290" s="99">
        <f>ROUND(Load!$K$43+'2022'!$E$309*0.485/744,0)</f>
        <v>55</v>
      </c>
      <c r="AH290" s="2">
        <f t="shared" si="261"/>
        <v>55</v>
      </c>
      <c r="AI290" s="9" t="s">
        <v>25</v>
      </c>
      <c r="AJ290" s="2">
        <f>'Hoover with 30 MW Solar'!$I$39</f>
        <v>30</v>
      </c>
      <c r="AK290" s="2">
        <v>35</v>
      </c>
      <c r="AL290" s="314"/>
      <c r="AM290" s="77">
        <v>15</v>
      </c>
      <c r="AN290" s="78">
        <v>50</v>
      </c>
      <c r="AO290" s="78">
        <v>50</v>
      </c>
      <c r="AP290" s="78"/>
      <c r="AQ290" s="78"/>
      <c r="AR290" s="78"/>
      <c r="AS290" s="108"/>
      <c r="AT290" s="108"/>
      <c r="AU290" s="108"/>
      <c r="AV290" s="108"/>
      <c r="AW290" s="108"/>
      <c r="AX290" s="108"/>
      <c r="AY290" s="109">
        <v>-15</v>
      </c>
      <c r="AZ290" s="2">
        <f t="shared" si="262"/>
        <v>165</v>
      </c>
      <c r="BA290" s="10"/>
      <c r="BB290" s="13">
        <f t="shared" si="263"/>
        <v>-110</v>
      </c>
      <c r="BC290" s="10"/>
      <c r="BD290" s="14">
        <f t="shared" si="264"/>
        <v>112</v>
      </c>
      <c r="BE290" s="14">
        <f t="shared" si="268"/>
        <v>102</v>
      </c>
      <c r="BF290" s="2">
        <f t="shared" si="265"/>
        <v>214</v>
      </c>
      <c r="BG290" s="2">
        <f t="shared" si="266"/>
        <v>324</v>
      </c>
    </row>
    <row r="291" spans="1:59" x14ac:dyDescent="0.3">
      <c r="A291" s="9" t="s">
        <v>26</v>
      </c>
      <c r="B291" s="99"/>
      <c r="C291" s="99">
        <f>ROUND(Load!$K$43+'2022'!$E$309*0.485/744,0)</f>
        <v>55</v>
      </c>
      <c r="D291" s="2">
        <f t="shared" si="255"/>
        <v>55</v>
      </c>
      <c r="E291" s="9" t="s">
        <v>26</v>
      </c>
      <c r="F291" s="2">
        <f>'Hoover with 30 MW Solar'!$I$39</f>
        <v>30</v>
      </c>
      <c r="G291" s="2">
        <v>35</v>
      </c>
      <c r="H291" s="2"/>
      <c r="I291" s="77">
        <v>15</v>
      </c>
      <c r="J291" s="78"/>
      <c r="K291" s="78"/>
      <c r="L291" s="78"/>
      <c r="M291" s="78"/>
      <c r="N291" s="108"/>
      <c r="O291" s="108"/>
      <c r="P291" s="108"/>
      <c r="Q291" s="108"/>
      <c r="R291" s="108"/>
      <c r="S291" s="108"/>
      <c r="T291" s="108"/>
      <c r="U291" s="109">
        <v>-15</v>
      </c>
      <c r="V291" s="2">
        <f t="shared" si="256"/>
        <v>65</v>
      </c>
      <c r="W291" s="10"/>
      <c r="X291" s="13">
        <f t="shared" si="257"/>
        <v>-10</v>
      </c>
      <c r="Y291" s="10"/>
      <c r="Z291" s="14">
        <f t="shared" si="258"/>
        <v>112</v>
      </c>
      <c r="AA291" s="14">
        <f t="shared" ref="AA291:AA305" si="269">217-I291-J291-K291-100</f>
        <v>102</v>
      </c>
      <c r="AB291" s="2">
        <f t="shared" si="259"/>
        <v>214</v>
      </c>
      <c r="AC291" s="2">
        <f t="shared" si="260"/>
        <v>224</v>
      </c>
      <c r="AE291" s="9" t="s">
        <v>26</v>
      </c>
      <c r="AF291" s="314"/>
      <c r="AG291" s="99">
        <f>ROUND(Load!$K$43+'2022'!$E$309*0.485/744,0)</f>
        <v>55</v>
      </c>
      <c r="AH291" s="2">
        <f t="shared" si="261"/>
        <v>55</v>
      </c>
      <c r="AI291" s="9" t="s">
        <v>26</v>
      </c>
      <c r="AJ291" s="2">
        <f>'Hoover with 30 MW Solar'!$I$39</f>
        <v>30</v>
      </c>
      <c r="AK291" s="2">
        <v>35</v>
      </c>
      <c r="AL291" s="314"/>
      <c r="AM291" s="77">
        <v>15</v>
      </c>
      <c r="AN291" s="78">
        <v>50</v>
      </c>
      <c r="AO291" s="78">
        <v>50</v>
      </c>
      <c r="AP291" s="78"/>
      <c r="AQ291" s="78"/>
      <c r="AR291" s="78"/>
      <c r="AS291" s="108"/>
      <c r="AT291" s="108"/>
      <c r="AU291" s="108"/>
      <c r="AV291" s="108"/>
      <c r="AW291" s="108"/>
      <c r="AX291" s="108"/>
      <c r="AY291" s="109">
        <v>-15</v>
      </c>
      <c r="AZ291" s="2">
        <f t="shared" si="262"/>
        <v>165</v>
      </c>
      <c r="BA291" s="10"/>
      <c r="BB291" s="13">
        <f t="shared" si="263"/>
        <v>-110</v>
      </c>
      <c r="BC291" s="10"/>
      <c r="BD291" s="14">
        <f t="shared" si="264"/>
        <v>112</v>
      </c>
      <c r="BE291" s="14">
        <f t="shared" si="268"/>
        <v>102</v>
      </c>
      <c r="BF291" s="2">
        <f t="shared" si="265"/>
        <v>214</v>
      </c>
      <c r="BG291" s="2">
        <f t="shared" si="266"/>
        <v>324</v>
      </c>
    </row>
    <row r="292" spans="1:59" x14ac:dyDescent="0.3">
      <c r="A292" s="9" t="s">
        <v>27</v>
      </c>
      <c r="B292" s="99"/>
      <c r="C292" s="99">
        <f>ROUND(Load!$K$43+'2022'!$E$309*0.485/744,0)</f>
        <v>55</v>
      </c>
      <c r="D292" s="2">
        <f t="shared" si="255"/>
        <v>55</v>
      </c>
      <c r="E292" s="9" t="s">
        <v>27</v>
      </c>
      <c r="F292" s="2">
        <f>'Hoover with 30 MW Solar'!$I$39</f>
        <v>30</v>
      </c>
      <c r="G292" s="2">
        <v>35</v>
      </c>
      <c r="H292" s="2"/>
      <c r="I292" s="77">
        <v>15</v>
      </c>
      <c r="J292" s="78"/>
      <c r="K292" s="78"/>
      <c r="L292" s="78"/>
      <c r="M292" s="78"/>
      <c r="N292" s="108"/>
      <c r="O292" s="108"/>
      <c r="P292" s="108"/>
      <c r="Q292" s="108"/>
      <c r="R292" s="108"/>
      <c r="S292" s="108"/>
      <c r="T292" s="108"/>
      <c r="U292" s="109">
        <v>-15</v>
      </c>
      <c r="V292" s="2">
        <f t="shared" si="256"/>
        <v>65</v>
      </c>
      <c r="W292" s="10"/>
      <c r="X292" s="13">
        <f t="shared" si="257"/>
        <v>-10</v>
      </c>
      <c r="Y292" s="10"/>
      <c r="Z292" s="14">
        <f t="shared" si="258"/>
        <v>112</v>
      </c>
      <c r="AA292" s="14">
        <f t="shared" si="269"/>
        <v>102</v>
      </c>
      <c r="AB292" s="2">
        <f t="shared" si="259"/>
        <v>214</v>
      </c>
      <c r="AC292" s="2">
        <f t="shared" si="260"/>
        <v>224</v>
      </c>
      <c r="AE292" s="9" t="s">
        <v>27</v>
      </c>
      <c r="AF292" s="314"/>
      <c r="AG292" s="99">
        <f>ROUND(Load!$K$43+'2022'!$E$309*0.485/744,0)</f>
        <v>55</v>
      </c>
      <c r="AH292" s="2">
        <f t="shared" si="261"/>
        <v>55</v>
      </c>
      <c r="AI292" s="9" t="s">
        <v>27</v>
      </c>
      <c r="AJ292" s="2">
        <f>'Hoover with 30 MW Solar'!$I$39</f>
        <v>30</v>
      </c>
      <c r="AK292" s="2">
        <v>35</v>
      </c>
      <c r="AL292" s="314"/>
      <c r="AM292" s="77">
        <v>15</v>
      </c>
      <c r="AN292" s="78">
        <v>50</v>
      </c>
      <c r="AO292" s="78">
        <v>50</v>
      </c>
      <c r="AP292" s="78"/>
      <c r="AQ292" s="78"/>
      <c r="AR292" s="78"/>
      <c r="AS292" s="108"/>
      <c r="AT292" s="108"/>
      <c r="AU292" s="108"/>
      <c r="AV292" s="108"/>
      <c r="AW292" s="108"/>
      <c r="AX292" s="108"/>
      <c r="AY292" s="109">
        <v>-15</v>
      </c>
      <c r="AZ292" s="2">
        <f t="shared" si="262"/>
        <v>165</v>
      </c>
      <c r="BA292" s="10"/>
      <c r="BB292" s="13">
        <f t="shared" si="263"/>
        <v>-110</v>
      </c>
      <c r="BC292" s="10"/>
      <c r="BD292" s="14">
        <f t="shared" si="264"/>
        <v>112</v>
      </c>
      <c r="BE292" s="14">
        <f t="shared" si="268"/>
        <v>102</v>
      </c>
      <c r="BF292" s="2">
        <f t="shared" si="265"/>
        <v>214</v>
      </c>
      <c r="BG292" s="2">
        <f t="shared" si="266"/>
        <v>324</v>
      </c>
    </row>
    <row r="293" spans="1:59" x14ac:dyDescent="0.3">
      <c r="A293" s="9" t="s">
        <v>28</v>
      </c>
      <c r="B293" s="99"/>
      <c r="C293" s="99">
        <f>ROUND(Load!$K$43+'2022'!$E$309*0.485/744,0)</f>
        <v>55</v>
      </c>
      <c r="D293" s="2">
        <f t="shared" si="255"/>
        <v>55</v>
      </c>
      <c r="E293" s="9" t="s">
        <v>28</v>
      </c>
      <c r="F293" s="2">
        <f>'Hoover with 30 MW Solar'!$I$39</f>
        <v>30</v>
      </c>
      <c r="G293" s="2">
        <v>35</v>
      </c>
      <c r="H293" s="2"/>
      <c r="I293" s="77">
        <v>15</v>
      </c>
      <c r="J293" s="78"/>
      <c r="K293" s="78"/>
      <c r="L293" s="78"/>
      <c r="M293" s="78"/>
      <c r="N293" s="108"/>
      <c r="O293" s="108"/>
      <c r="P293" s="108"/>
      <c r="Q293" s="108"/>
      <c r="R293" s="108"/>
      <c r="S293" s="108"/>
      <c r="T293" s="108"/>
      <c r="U293" s="109">
        <v>-15</v>
      </c>
      <c r="V293" s="2">
        <f t="shared" si="256"/>
        <v>65</v>
      </c>
      <c r="W293" s="10"/>
      <c r="X293" s="13">
        <f t="shared" si="257"/>
        <v>-10</v>
      </c>
      <c r="Y293" s="10"/>
      <c r="Z293" s="14">
        <f t="shared" si="258"/>
        <v>112</v>
      </c>
      <c r="AA293" s="14">
        <f t="shared" si="269"/>
        <v>102</v>
      </c>
      <c r="AB293" s="2">
        <f t="shared" si="259"/>
        <v>214</v>
      </c>
      <c r="AC293" s="2">
        <f t="shared" si="260"/>
        <v>224</v>
      </c>
      <c r="AE293" s="9" t="s">
        <v>28</v>
      </c>
      <c r="AF293" s="314"/>
      <c r="AG293" s="99">
        <f>ROUND(Load!$K$43+'2022'!$E$309*0.485/744,0)</f>
        <v>55</v>
      </c>
      <c r="AH293" s="2">
        <f t="shared" si="261"/>
        <v>55</v>
      </c>
      <c r="AI293" s="9" t="s">
        <v>28</v>
      </c>
      <c r="AJ293" s="2">
        <f>'Hoover with 30 MW Solar'!$I$39</f>
        <v>30</v>
      </c>
      <c r="AK293" s="2">
        <v>35</v>
      </c>
      <c r="AL293" s="314"/>
      <c r="AM293" s="77">
        <v>15</v>
      </c>
      <c r="AN293" s="78">
        <v>50</v>
      </c>
      <c r="AO293" s="78">
        <v>50</v>
      </c>
      <c r="AP293" s="78"/>
      <c r="AQ293" s="78"/>
      <c r="AR293" s="78"/>
      <c r="AS293" s="108"/>
      <c r="AT293" s="108"/>
      <c r="AU293" s="108"/>
      <c r="AV293" s="108"/>
      <c r="AW293" s="108"/>
      <c r="AX293" s="108"/>
      <c r="AY293" s="109">
        <v>-15</v>
      </c>
      <c r="AZ293" s="2">
        <f t="shared" si="262"/>
        <v>165</v>
      </c>
      <c r="BA293" s="10"/>
      <c r="BB293" s="13">
        <f t="shared" si="263"/>
        <v>-110</v>
      </c>
      <c r="BC293" s="10"/>
      <c r="BD293" s="14">
        <f t="shared" si="264"/>
        <v>112</v>
      </c>
      <c r="BE293" s="14">
        <f t="shared" si="268"/>
        <v>102</v>
      </c>
      <c r="BF293" s="2">
        <f t="shared" si="265"/>
        <v>214</v>
      </c>
      <c r="BG293" s="2">
        <f t="shared" si="266"/>
        <v>324</v>
      </c>
    </row>
    <row r="294" spans="1:59" x14ac:dyDescent="0.3">
      <c r="A294" s="9" t="s">
        <v>29</v>
      </c>
      <c r="B294" s="99"/>
      <c r="C294" s="99">
        <f>ROUND(Load!$K$43+'2022'!$E$309*0.485/744,0)</f>
        <v>55</v>
      </c>
      <c r="D294" s="2">
        <f t="shared" si="255"/>
        <v>55</v>
      </c>
      <c r="E294" s="9" t="s">
        <v>29</v>
      </c>
      <c r="F294" s="2">
        <f>'Hoover with 30 MW Solar'!$I$39</f>
        <v>30</v>
      </c>
      <c r="G294" s="2">
        <v>35</v>
      </c>
      <c r="H294" s="2"/>
      <c r="I294" s="77">
        <v>15</v>
      </c>
      <c r="J294" s="78"/>
      <c r="K294" s="78"/>
      <c r="L294" s="78"/>
      <c r="M294" s="78"/>
      <c r="N294" s="108"/>
      <c r="O294" s="108"/>
      <c r="P294" s="108"/>
      <c r="Q294" s="108"/>
      <c r="R294" s="108"/>
      <c r="S294" s="108"/>
      <c r="T294" s="108"/>
      <c r="U294" s="109">
        <v>-15</v>
      </c>
      <c r="V294" s="2">
        <f t="shared" si="256"/>
        <v>65</v>
      </c>
      <c r="W294" s="10"/>
      <c r="X294" s="13">
        <f t="shared" si="257"/>
        <v>-10</v>
      </c>
      <c r="Y294" s="10"/>
      <c r="Z294" s="14">
        <f t="shared" si="258"/>
        <v>112</v>
      </c>
      <c r="AA294" s="14">
        <f t="shared" si="269"/>
        <v>102</v>
      </c>
      <c r="AB294" s="2">
        <f t="shared" si="259"/>
        <v>214</v>
      </c>
      <c r="AC294" s="2">
        <f t="shared" si="260"/>
        <v>224</v>
      </c>
      <c r="AE294" s="9" t="s">
        <v>29</v>
      </c>
      <c r="AF294" s="314"/>
      <c r="AG294" s="99">
        <f>ROUND(Load!$K$43+'2022'!$E$309*0.485/744,0)</f>
        <v>55</v>
      </c>
      <c r="AH294" s="2">
        <f t="shared" si="261"/>
        <v>55</v>
      </c>
      <c r="AI294" s="9" t="s">
        <v>29</v>
      </c>
      <c r="AJ294" s="2">
        <f>'Hoover with 30 MW Solar'!$I$39</f>
        <v>30</v>
      </c>
      <c r="AK294" s="2">
        <v>35</v>
      </c>
      <c r="AL294" s="314"/>
      <c r="AM294" s="77">
        <v>15</v>
      </c>
      <c r="AN294" s="78">
        <v>50</v>
      </c>
      <c r="AO294" s="78">
        <v>50</v>
      </c>
      <c r="AP294" s="78"/>
      <c r="AQ294" s="78"/>
      <c r="AR294" s="78"/>
      <c r="AS294" s="108"/>
      <c r="AT294" s="108"/>
      <c r="AU294" s="108"/>
      <c r="AV294" s="108"/>
      <c r="AW294" s="108"/>
      <c r="AX294" s="108"/>
      <c r="AY294" s="109">
        <v>-15</v>
      </c>
      <c r="AZ294" s="2">
        <f t="shared" si="262"/>
        <v>165</v>
      </c>
      <c r="BA294" s="10"/>
      <c r="BB294" s="13">
        <f t="shared" si="263"/>
        <v>-110</v>
      </c>
      <c r="BC294" s="10"/>
      <c r="BD294" s="14">
        <f t="shared" si="264"/>
        <v>112</v>
      </c>
      <c r="BE294" s="14">
        <f t="shared" si="268"/>
        <v>102</v>
      </c>
      <c r="BF294" s="2">
        <f t="shared" si="265"/>
        <v>214</v>
      </c>
      <c r="BG294" s="2">
        <f t="shared" si="266"/>
        <v>324</v>
      </c>
    </row>
    <row r="295" spans="1:59" x14ac:dyDescent="0.3">
      <c r="A295" s="9" t="s">
        <v>30</v>
      </c>
      <c r="B295" s="99"/>
      <c r="C295" s="99">
        <f>ROUND(Load!$K$43+'2022'!$E$309*0.485/744,0)</f>
        <v>55</v>
      </c>
      <c r="D295" s="2">
        <f t="shared" si="255"/>
        <v>55</v>
      </c>
      <c r="E295" s="9" t="s">
        <v>30</v>
      </c>
      <c r="F295" s="2">
        <f>'Hoover with 30 MW Solar'!$I$39</f>
        <v>30</v>
      </c>
      <c r="G295" s="2">
        <v>35</v>
      </c>
      <c r="H295" s="2"/>
      <c r="I295" s="77">
        <v>15</v>
      </c>
      <c r="J295" s="78"/>
      <c r="K295" s="78"/>
      <c r="L295" s="78"/>
      <c r="M295" s="78"/>
      <c r="N295" s="108"/>
      <c r="O295" s="108"/>
      <c r="P295" s="108"/>
      <c r="Q295" s="108"/>
      <c r="R295" s="108"/>
      <c r="S295" s="108"/>
      <c r="T295" s="108"/>
      <c r="U295" s="109">
        <v>-15</v>
      </c>
      <c r="V295" s="2">
        <f t="shared" si="256"/>
        <v>65</v>
      </c>
      <c r="W295" s="10"/>
      <c r="X295" s="13">
        <f t="shared" si="257"/>
        <v>-10</v>
      </c>
      <c r="Y295" s="10"/>
      <c r="Z295" s="14">
        <f t="shared" si="258"/>
        <v>112</v>
      </c>
      <c r="AA295" s="14">
        <f t="shared" si="269"/>
        <v>102</v>
      </c>
      <c r="AB295" s="2">
        <f t="shared" si="259"/>
        <v>214</v>
      </c>
      <c r="AC295" s="2">
        <f t="shared" si="260"/>
        <v>224</v>
      </c>
      <c r="AE295" s="9" t="s">
        <v>30</v>
      </c>
      <c r="AF295" s="314"/>
      <c r="AG295" s="99">
        <f>ROUND(Load!$K$43+'2022'!$E$309*0.485/744,0)</f>
        <v>55</v>
      </c>
      <c r="AH295" s="2">
        <f t="shared" si="261"/>
        <v>55</v>
      </c>
      <c r="AI295" s="9" t="s">
        <v>30</v>
      </c>
      <c r="AJ295" s="2">
        <f>'Hoover with 30 MW Solar'!$I$39</f>
        <v>30</v>
      </c>
      <c r="AK295" s="2">
        <v>35</v>
      </c>
      <c r="AL295" s="314"/>
      <c r="AM295" s="77">
        <v>15</v>
      </c>
      <c r="AN295" s="78">
        <v>50</v>
      </c>
      <c r="AO295" s="78">
        <v>50</v>
      </c>
      <c r="AP295" s="78"/>
      <c r="AQ295" s="78"/>
      <c r="AR295" s="78"/>
      <c r="AS295" s="108"/>
      <c r="AT295" s="108"/>
      <c r="AU295" s="108"/>
      <c r="AV295" s="108"/>
      <c r="AW295" s="108"/>
      <c r="AX295" s="108"/>
      <c r="AY295" s="109">
        <v>-15</v>
      </c>
      <c r="AZ295" s="2">
        <f t="shared" si="262"/>
        <v>165</v>
      </c>
      <c r="BA295" s="10"/>
      <c r="BB295" s="13">
        <f t="shared" si="263"/>
        <v>-110</v>
      </c>
      <c r="BC295" s="10"/>
      <c r="BD295" s="14">
        <f t="shared" si="264"/>
        <v>112</v>
      </c>
      <c r="BE295" s="14">
        <f t="shared" si="268"/>
        <v>102</v>
      </c>
      <c r="BF295" s="2">
        <f t="shared" si="265"/>
        <v>214</v>
      </c>
      <c r="BG295" s="2">
        <f t="shared" si="266"/>
        <v>324</v>
      </c>
    </row>
    <row r="296" spans="1:59" x14ac:dyDescent="0.3">
      <c r="A296" s="9" t="s">
        <v>31</v>
      </c>
      <c r="B296" s="99"/>
      <c r="C296" s="99">
        <f>ROUND(Load!$K$43+'2022'!$E$309*0.485/744,0)</f>
        <v>55</v>
      </c>
      <c r="D296" s="2">
        <f t="shared" si="255"/>
        <v>55</v>
      </c>
      <c r="E296" s="9" t="s">
        <v>31</v>
      </c>
      <c r="F296" s="2">
        <f>'Hoover with 30 MW Solar'!$I$39</f>
        <v>30</v>
      </c>
      <c r="G296" s="2">
        <v>35</v>
      </c>
      <c r="H296" s="2"/>
      <c r="I296" s="77">
        <v>15</v>
      </c>
      <c r="J296" s="78"/>
      <c r="K296" s="78"/>
      <c r="L296" s="78"/>
      <c r="M296" s="78"/>
      <c r="N296" s="108"/>
      <c r="O296" s="108"/>
      <c r="P296" s="108"/>
      <c r="Q296" s="108"/>
      <c r="R296" s="108"/>
      <c r="S296" s="108"/>
      <c r="T296" s="108"/>
      <c r="U296" s="109">
        <v>-15</v>
      </c>
      <c r="V296" s="2">
        <f t="shared" si="256"/>
        <v>65</v>
      </c>
      <c r="W296" s="10"/>
      <c r="X296" s="13">
        <f t="shared" si="257"/>
        <v>-10</v>
      </c>
      <c r="Y296" s="10"/>
      <c r="Z296" s="14">
        <f t="shared" si="258"/>
        <v>112</v>
      </c>
      <c r="AA296" s="14">
        <f t="shared" si="269"/>
        <v>102</v>
      </c>
      <c r="AB296" s="2">
        <f t="shared" si="259"/>
        <v>214</v>
      </c>
      <c r="AC296" s="2">
        <f t="shared" si="260"/>
        <v>224</v>
      </c>
      <c r="AE296" s="9" t="s">
        <v>31</v>
      </c>
      <c r="AF296" s="314"/>
      <c r="AG296" s="99">
        <f>ROUND(Load!$K$43+'2022'!$E$309*0.485/744,0)</f>
        <v>55</v>
      </c>
      <c r="AH296" s="2">
        <f t="shared" si="261"/>
        <v>55</v>
      </c>
      <c r="AI296" s="9" t="s">
        <v>31</v>
      </c>
      <c r="AJ296" s="2">
        <f>'Hoover with 30 MW Solar'!$I$39</f>
        <v>30</v>
      </c>
      <c r="AK296" s="2">
        <v>35</v>
      </c>
      <c r="AL296" s="314"/>
      <c r="AM296" s="77">
        <v>15</v>
      </c>
      <c r="AN296" s="78">
        <v>50</v>
      </c>
      <c r="AO296" s="78">
        <v>50</v>
      </c>
      <c r="AP296" s="78"/>
      <c r="AQ296" s="78"/>
      <c r="AR296" s="78"/>
      <c r="AS296" s="108"/>
      <c r="AT296" s="108"/>
      <c r="AU296" s="108"/>
      <c r="AV296" s="108"/>
      <c r="AW296" s="108"/>
      <c r="AX296" s="108"/>
      <c r="AY296" s="109">
        <v>-15</v>
      </c>
      <c r="AZ296" s="2">
        <f t="shared" si="262"/>
        <v>165</v>
      </c>
      <c r="BA296" s="10"/>
      <c r="BB296" s="13">
        <f t="shared" si="263"/>
        <v>-110</v>
      </c>
      <c r="BC296" s="10"/>
      <c r="BD296" s="14">
        <f t="shared" si="264"/>
        <v>112</v>
      </c>
      <c r="BE296" s="14">
        <f t="shared" si="268"/>
        <v>102</v>
      </c>
      <c r="BF296" s="2">
        <f t="shared" si="265"/>
        <v>214</v>
      </c>
      <c r="BG296" s="2">
        <f t="shared" si="266"/>
        <v>324</v>
      </c>
    </row>
    <row r="297" spans="1:59" x14ac:dyDescent="0.3">
      <c r="A297" s="9" t="s">
        <v>32</v>
      </c>
      <c r="B297" s="99"/>
      <c r="C297" s="99">
        <f>ROUND(Load!$K$43+'2022'!$E$309*0.485/744,0)</f>
        <v>55</v>
      </c>
      <c r="D297" s="2">
        <f t="shared" si="255"/>
        <v>55</v>
      </c>
      <c r="E297" s="9" t="s">
        <v>32</v>
      </c>
      <c r="F297" s="2">
        <f>'Hoover with 30 MW Solar'!$I$39</f>
        <v>30</v>
      </c>
      <c r="G297" s="2">
        <v>35</v>
      </c>
      <c r="H297" s="2"/>
      <c r="I297" s="77">
        <v>15</v>
      </c>
      <c r="J297" s="78"/>
      <c r="K297" s="78"/>
      <c r="L297" s="78"/>
      <c r="M297" s="78"/>
      <c r="N297" s="108"/>
      <c r="O297" s="108"/>
      <c r="P297" s="108"/>
      <c r="Q297" s="108"/>
      <c r="R297" s="108"/>
      <c r="S297" s="108"/>
      <c r="T297" s="108"/>
      <c r="U297" s="109">
        <v>-15</v>
      </c>
      <c r="V297" s="2">
        <f t="shared" si="256"/>
        <v>65</v>
      </c>
      <c r="W297" s="10"/>
      <c r="X297" s="13">
        <f t="shared" si="257"/>
        <v>-10</v>
      </c>
      <c r="Y297" s="10"/>
      <c r="Z297" s="14">
        <f t="shared" si="258"/>
        <v>112</v>
      </c>
      <c r="AA297" s="14">
        <f t="shared" si="269"/>
        <v>102</v>
      </c>
      <c r="AB297" s="2">
        <f t="shared" si="259"/>
        <v>214</v>
      </c>
      <c r="AC297" s="2">
        <f t="shared" si="260"/>
        <v>224</v>
      </c>
      <c r="AE297" s="9" t="s">
        <v>32</v>
      </c>
      <c r="AF297" s="314"/>
      <c r="AG297" s="99">
        <f>ROUND(Load!$K$43+'2022'!$E$309*0.485/744,0)</f>
        <v>55</v>
      </c>
      <c r="AH297" s="2">
        <f t="shared" si="261"/>
        <v>55</v>
      </c>
      <c r="AI297" s="9" t="s">
        <v>32</v>
      </c>
      <c r="AJ297" s="2">
        <f>'Hoover with 30 MW Solar'!$I$39</f>
        <v>30</v>
      </c>
      <c r="AK297" s="2">
        <v>35</v>
      </c>
      <c r="AL297" s="314"/>
      <c r="AM297" s="77">
        <v>15</v>
      </c>
      <c r="AN297" s="78">
        <v>50</v>
      </c>
      <c r="AO297" s="78">
        <v>50</v>
      </c>
      <c r="AP297" s="78"/>
      <c r="AQ297" s="78"/>
      <c r="AR297" s="78"/>
      <c r="AS297" s="108"/>
      <c r="AT297" s="108"/>
      <c r="AU297" s="108"/>
      <c r="AV297" s="108"/>
      <c r="AW297" s="108"/>
      <c r="AX297" s="108"/>
      <c r="AY297" s="109">
        <v>-15</v>
      </c>
      <c r="AZ297" s="2">
        <f t="shared" si="262"/>
        <v>165</v>
      </c>
      <c r="BA297" s="10"/>
      <c r="BB297" s="13">
        <f t="shared" si="263"/>
        <v>-110</v>
      </c>
      <c r="BC297" s="10"/>
      <c r="BD297" s="14">
        <f t="shared" si="264"/>
        <v>112</v>
      </c>
      <c r="BE297" s="14">
        <f t="shared" si="268"/>
        <v>102</v>
      </c>
      <c r="BF297" s="2">
        <f t="shared" si="265"/>
        <v>214</v>
      </c>
      <c r="BG297" s="2">
        <f t="shared" si="266"/>
        <v>324</v>
      </c>
    </row>
    <row r="298" spans="1:59" x14ac:dyDescent="0.3">
      <c r="A298" s="9" t="s">
        <v>33</v>
      </c>
      <c r="B298" s="99"/>
      <c r="C298" s="99">
        <f>ROUND(Load!$K$43+'2022'!$E$309*0.485/744,0)</f>
        <v>55</v>
      </c>
      <c r="D298" s="2">
        <f t="shared" si="255"/>
        <v>55</v>
      </c>
      <c r="E298" s="9" t="s">
        <v>33</v>
      </c>
      <c r="F298" s="2">
        <f>'Hoover with 30 MW Solar'!$I$39</f>
        <v>30</v>
      </c>
      <c r="G298" s="2">
        <v>35</v>
      </c>
      <c r="H298" s="2">
        <v>46</v>
      </c>
      <c r="I298" s="77">
        <v>15</v>
      </c>
      <c r="J298" s="78"/>
      <c r="K298" s="78"/>
      <c r="L298" s="78"/>
      <c r="M298" s="78"/>
      <c r="N298" s="108"/>
      <c r="O298" s="108"/>
      <c r="P298" s="108"/>
      <c r="Q298" s="108"/>
      <c r="R298" s="108"/>
      <c r="S298" s="108">
        <v>-25</v>
      </c>
      <c r="T298" s="108"/>
      <c r="U298" s="109">
        <v>-15</v>
      </c>
      <c r="V298" s="2">
        <f t="shared" si="256"/>
        <v>86</v>
      </c>
      <c r="W298" s="10"/>
      <c r="X298" s="13">
        <f t="shared" si="257"/>
        <v>-31</v>
      </c>
      <c r="Y298" s="10"/>
      <c r="Z298" s="14">
        <f t="shared" si="258"/>
        <v>66</v>
      </c>
      <c r="AA298" s="14">
        <f t="shared" si="269"/>
        <v>102</v>
      </c>
      <c r="AB298" s="2">
        <f t="shared" si="259"/>
        <v>168</v>
      </c>
      <c r="AC298" s="2">
        <f t="shared" si="260"/>
        <v>199</v>
      </c>
      <c r="AE298" s="9" t="s">
        <v>33</v>
      </c>
      <c r="AF298" s="314"/>
      <c r="AG298" s="99">
        <f>ROUND(Load!$K$43+'2022'!$E$309*0.485/744,0)</f>
        <v>55</v>
      </c>
      <c r="AH298" s="2">
        <f t="shared" si="261"/>
        <v>55</v>
      </c>
      <c r="AI298" s="9" t="s">
        <v>33</v>
      </c>
      <c r="AJ298" s="2">
        <f>'Hoover with 30 MW Solar'!$I$39</f>
        <v>30</v>
      </c>
      <c r="AK298" s="2">
        <v>35</v>
      </c>
      <c r="AL298" s="314">
        <v>46</v>
      </c>
      <c r="AM298" s="77">
        <v>15</v>
      </c>
      <c r="AN298" s="78">
        <v>50</v>
      </c>
      <c r="AO298" s="78">
        <v>50</v>
      </c>
      <c r="AP298" s="78"/>
      <c r="AQ298" s="78"/>
      <c r="AR298" s="78"/>
      <c r="AS298" s="108"/>
      <c r="AT298" s="108"/>
      <c r="AU298" s="108"/>
      <c r="AV298" s="108"/>
      <c r="AW298" s="108"/>
      <c r="AX298" s="108"/>
      <c r="AY298" s="109">
        <v>-15</v>
      </c>
      <c r="AZ298" s="2">
        <f t="shared" si="262"/>
        <v>211</v>
      </c>
      <c r="BA298" s="10"/>
      <c r="BB298" s="13">
        <f t="shared" si="263"/>
        <v>-156</v>
      </c>
      <c r="BC298" s="10"/>
      <c r="BD298" s="14">
        <f>142-AJ298-AL298</f>
        <v>66</v>
      </c>
      <c r="BE298" s="14">
        <f t="shared" si="268"/>
        <v>102</v>
      </c>
      <c r="BF298" s="2">
        <f t="shared" si="265"/>
        <v>168</v>
      </c>
      <c r="BG298" s="2">
        <f t="shared" si="266"/>
        <v>324</v>
      </c>
    </row>
    <row r="299" spans="1:59" x14ac:dyDescent="0.3">
      <c r="A299" s="9" t="s">
        <v>34</v>
      </c>
      <c r="B299" s="99"/>
      <c r="C299" s="99">
        <f>ROUND(Load!$K$43+'2022'!$E$309*0.485/744,0)</f>
        <v>55</v>
      </c>
      <c r="D299" s="2">
        <f t="shared" si="255"/>
        <v>55</v>
      </c>
      <c r="E299" s="9" t="s">
        <v>34</v>
      </c>
      <c r="F299" s="2">
        <f>'Hoover with 30 MW Solar'!$I$39</f>
        <v>30</v>
      </c>
      <c r="G299" s="2">
        <v>35</v>
      </c>
      <c r="H299" s="2">
        <v>46</v>
      </c>
      <c r="I299" s="77">
        <v>15</v>
      </c>
      <c r="J299" s="78"/>
      <c r="K299" s="78"/>
      <c r="L299" s="78"/>
      <c r="M299" s="78"/>
      <c r="N299" s="108"/>
      <c r="O299" s="108"/>
      <c r="P299" s="108"/>
      <c r="Q299" s="108"/>
      <c r="R299" s="108"/>
      <c r="S299" s="108">
        <v>-25</v>
      </c>
      <c r="T299" s="108"/>
      <c r="U299" s="109">
        <v>-15</v>
      </c>
      <c r="V299" s="2">
        <f t="shared" si="256"/>
        <v>86</v>
      </c>
      <c r="W299" s="10"/>
      <c r="X299" s="13">
        <f t="shared" si="257"/>
        <v>-31</v>
      </c>
      <c r="Y299" s="10"/>
      <c r="Z299" s="14">
        <f>142-F299-H299</f>
        <v>66</v>
      </c>
      <c r="AA299" s="14">
        <f t="shared" si="269"/>
        <v>102</v>
      </c>
      <c r="AB299" s="2">
        <f t="shared" si="259"/>
        <v>168</v>
      </c>
      <c r="AC299" s="2">
        <f t="shared" si="260"/>
        <v>199</v>
      </c>
      <c r="AE299" s="9" t="s">
        <v>34</v>
      </c>
      <c r="AF299" s="314"/>
      <c r="AG299" s="99">
        <f>ROUND(Load!$K$43+'2022'!$E$309*0.485/744,0)</f>
        <v>55</v>
      </c>
      <c r="AH299" s="2">
        <f t="shared" si="261"/>
        <v>55</v>
      </c>
      <c r="AI299" s="9" t="s">
        <v>34</v>
      </c>
      <c r="AJ299" s="2">
        <f>'Hoover with 30 MW Solar'!$I$39</f>
        <v>30</v>
      </c>
      <c r="AK299" s="2">
        <v>35</v>
      </c>
      <c r="AL299" s="314">
        <v>46</v>
      </c>
      <c r="AM299" s="77">
        <v>15</v>
      </c>
      <c r="AN299" s="78">
        <v>50</v>
      </c>
      <c r="AO299" s="78">
        <v>50</v>
      </c>
      <c r="AP299" s="78"/>
      <c r="AQ299" s="78"/>
      <c r="AR299" s="78"/>
      <c r="AS299" s="108"/>
      <c r="AT299" s="108"/>
      <c r="AU299" s="108"/>
      <c r="AV299" s="108"/>
      <c r="AW299" s="108"/>
      <c r="AX299" s="108"/>
      <c r="AY299" s="109">
        <v>-15</v>
      </c>
      <c r="AZ299" s="2">
        <f t="shared" si="262"/>
        <v>211</v>
      </c>
      <c r="BA299" s="10"/>
      <c r="BB299" s="13">
        <f t="shared" si="263"/>
        <v>-156</v>
      </c>
      <c r="BC299" s="10"/>
      <c r="BD299" s="14">
        <f t="shared" si="264"/>
        <v>66</v>
      </c>
      <c r="BE299" s="14">
        <f t="shared" si="268"/>
        <v>102</v>
      </c>
      <c r="BF299" s="2">
        <f t="shared" si="265"/>
        <v>168</v>
      </c>
      <c r="BG299" s="2">
        <f t="shared" si="266"/>
        <v>324</v>
      </c>
    </row>
    <row r="300" spans="1:59" x14ac:dyDescent="0.3">
      <c r="A300" s="9" t="s">
        <v>35</v>
      </c>
      <c r="B300" s="99"/>
      <c r="C300" s="99">
        <f>ROUND(Load!$K$43+'2022'!$E$309*0.485/744,0)</f>
        <v>55</v>
      </c>
      <c r="D300" s="2">
        <f t="shared" si="255"/>
        <v>55</v>
      </c>
      <c r="E300" s="9" t="s">
        <v>35</v>
      </c>
      <c r="F300" s="2">
        <f>'Hoover with 30 MW Solar'!$I$39</f>
        <v>30</v>
      </c>
      <c r="G300" s="2">
        <v>35</v>
      </c>
      <c r="H300" s="2">
        <v>46</v>
      </c>
      <c r="I300" s="77">
        <v>15</v>
      </c>
      <c r="J300" s="78"/>
      <c r="K300" s="78"/>
      <c r="L300" s="78"/>
      <c r="M300" s="78"/>
      <c r="N300" s="108"/>
      <c r="O300" s="108"/>
      <c r="P300" s="108"/>
      <c r="Q300" s="108"/>
      <c r="R300" s="108"/>
      <c r="S300" s="108">
        <v>-25</v>
      </c>
      <c r="T300" s="108"/>
      <c r="U300" s="109">
        <v>-15</v>
      </c>
      <c r="V300" s="2">
        <f t="shared" si="256"/>
        <v>86</v>
      </c>
      <c r="W300" s="10"/>
      <c r="X300" s="13">
        <f t="shared" si="257"/>
        <v>-31</v>
      </c>
      <c r="Y300" s="10"/>
      <c r="Z300" s="14">
        <f t="shared" si="258"/>
        <v>66</v>
      </c>
      <c r="AA300" s="14">
        <f t="shared" si="269"/>
        <v>102</v>
      </c>
      <c r="AB300" s="2">
        <f t="shared" si="259"/>
        <v>168</v>
      </c>
      <c r="AC300" s="2">
        <f t="shared" si="260"/>
        <v>199</v>
      </c>
      <c r="AE300" s="9" t="s">
        <v>35</v>
      </c>
      <c r="AF300" s="314"/>
      <c r="AG300" s="99">
        <f>ROUND(Load!$K$43+'2022'!$E$309*0.485/744,0)</f>
        <v>55</v>
      </c>
      <c r="AH300" s="2">
        <f t="shared" si="261"/>
        <v>55</v>
      </c>
      <c r="AI300" s="9" t="s">
        <v>35</v>
      </c>
      <c r="AJ300" s="2">
        <f>'Hoover with 30 MW Solar'!$I$39</f>
        <v>30</v>
      </c>
      <c r="AK300" s="2">
        <v>35</v>
      </c>
      <c r="AL300" s="314">
        <v>46</v>
      </c>
      <c r="AM300" s="77">
        <v>15</v>
      </c>
      <c r="AN300" s="78">
        <v>50</v>
      </c>
      <c r="AO300" s="78">
        <v>50</v>
      </c>
      <c r="AP300" s="78"/>
      <c r="AQ300" s="78"/>
      <c r="AR300" s="78"/>
      <c r="AS300" s="108"/>
      <c r="AT300" s="108"/>
      <c r="AU300" s="108"/>
      <c r="AV300" s="108"/>
      <c r="AW300" s="108"/>
      <c r="AX300" s="108"/>
      <c r="AY300" s="109">
        <v>-15</v>
      </c>
      <c r="AZ300" s="2">
        <f t="shared" si="262"/>
        <v>211</v>
      </c>
      <c r="BA300" s="10"/>
      <c r="BB300" s="13">
        <f t="shared" si="263"/>
        <v>-156</v>
      </c>
      <c r="BC300" s="10"/>
      <c r="BD300" s="14">
        <f t="shared" si="264"/>
        <v>66</v>
      </c>
      <c r="BE300" s="14">
        <f t="shared" si="268"/>
        <v>102</v>
      </c>
      <c r="BF300" s="2">
        <f t="shared" si="265"/>
        <v>168</v>
      </c>
      <c r="BG300" s="2">
        <f t="shared" si="266"/>
        <v>324</v>
      </c>
    </row>
    <row r="301" spans="1:59" x14ac:dyDescent="0.3">
      <c r="A301" s="9" t="s">
        <v>36</v>
      </c>
      <c r="B301" s="99"/>
      <c r="C301" s="99">
        <f>ROUND(Load!$K$43+'2022'!$E$309*0.485/744,0)</f>
        <v>55</v>
      </c>
      <c r="D301" s="2">
        <f t="shared" si="255"/>
        <v>55</v>
      </c>
      <c r="E301" s="9" t="s">
        <v>36</v>
      </c>
      <c r="F301" s="2">
        <f>'Hoover with 30 MW Solar'!$I$39</f>
        <v>30</v>
      </c>
      <c r="G301" s="2">
        <v>35</v>
      </c>
      <c r="H301" s="314">
        <v>46</v>
      </c>
      <c r="I301" s="77">
        <v>15</v>
      </c>
      <c r="J301" s="78"/>
      <c r="K301" s="78"/>
      <c r="L301" s="78"/>
      <c r="M301" s="78"/>
      <c r="N301" s="108"/>
      <c r="O301" s="108"/>
      <c r="P301" s="108"/>
      <c r="Q301" s="108"/>
      <c r="R301" s="108"/>
      <c r="S301" s="108">
        <v>-25</v>
      </c>
      <c r="T301" s="108"/>
      <c r="U301" s="109">
        <v>-15</v>
      </c>
      <c r="V301" s="2">
        <f t="shared" si="256"/>
        <v>86</v>
      </c>
      <c r="W301" s="10"/>
      <c r="X301" s="13">
        <f t="shared" si="257"/>
        <v>-31</v>
      </c>
      <c r="Y301" s="10"/>
      <c r="Z301" s="14">
        <f t="shared" si="258"/>
        <v>66</v>
      </c>
      <c r="AA301" s="14">
        <f t="shared" si="269"/>
        <v>102</v>
      </c>
      <c r="AB301" s="2">
        <f t="shared" si="259"/>
        <v>168</v>
      </c>
      <c r="AC301" s="2">
        <f t="shared" si="260"/>
        <v>199</v>
      </c>
      <c r="AE301" s="9" t="s">
        <v>36</v>
      </c>
      <c r="AF301" s="314"/>
      <c r="AG301" s="99">
        <f>ROUND(Load!$K$43+'2022'!$E$309*0.485/744,0)</f>
        <v>55</v>
      </c>
      <c r="AH301" s="2">
        <f t="shared" si="261"/>
        <v>55</v>
      </c>
      <c r="AI301" s="9" t="s">
        <v>36</v>
      </c>
      <c r="AJ301" s="2">
        <f>'Hoover with 30 MW Solar'!$I$39</f>
        <v>30</v>
      </c>
      <c r="AK301" s="2">
        <v>35</v>
      </c>
      <c r="AL301" s="314">
        <v>46</v>
      </c>
      <c r="AM301" s="77">
        <v>15</v>
      </c>
      <c r="AN301" s="78">
        <v>50</v>
      </c>
      <c r="AO301" s="78">
        <v>50</v>
      </c>
      <c r="AP301" s="78"/>
      <c r="AQ301" s="78"/>
      <c r="AR301" s="78"/>
      <c r="AS301" s="108"/>
      <c r="AT301" s="108"/>
      <c r="AU301" s="108"/>
      <c r="AV301" s="108"/>
      <c r="AW301" s="108"/>
      <c r="AX301" s="108"/>
      <c r="AY301" s="109">
        <v>-15</v>
      </c>
      <c r="AZ301" s="2">
        <f t="shared" si="262"/>
        <v>211</v>
      </c>
      <c r="BA301" s="10"/>
      <c r="BB301" s="13">
        <f t="shared" si="263"/>
        <v>-156</v>
      </c>
      <c r="BC301" s="10"/>
      <c r="BD301" s="14">
        <f t="shared" si="264"/>
        <v>66</v>
      </c>
      <c r="BE301" s="14">
        <f t="shared" si="268"/>
        <v>102</v>
      </c>
      <c r="BF301" s="2">
        <f t="shared" si="265"/>
        <v>168</v>
      </c>
      <c r="BG301" s="2">
        <f t="shared" si="266"/>
        <v>324</v>
      </c>
    </row>
    <row r="302" spans="1:59" x14ac:dyDescent="0.3">
      <c r="A302" s="9" t="s">
        <v>37</v>
      </c>
      <c r="B302" s="99"/>
      <c r="C302" s="99">
        <f>ROUND(Load!$K$43+'2022'!$E$309*0.485/744,0)</f>
        <v>55</v>
      </c>
      <c r="D302" s="2">
        <f t="shared" si="255"/>
        <v>55</v>
      </c>
      <c r="E302" s="9" t="s">
        <v>37</v>
      </c>
      <c r="F302" s="2">
        <f>'Hoover with 30 MW Solar'!$I$39</f>
        <v>30</v>
      </c>
      <c r="G302" s="2">
        <v>35</v>
      </c>
      <c r="H302" s="314">
        <v>46</v>
      </c>
      <c r="I302" s="77">
        <v>15</v>
      </c>
      <c r="J302" s="78"/>
      <c r="K302" s="78"/>
      <c r="L302" s="78"/>
      <c r="M302" s="78"/>
      <c r="N302" s="108"/>
      <c r="O302" s="108"/>
      <c r="P302" s="108"/>
      <c r="Q302" s="108"/>
      <c r="R302" s="108"/>
      <c r="S302" s="108">
        <v>-25</v>
      </c>
      <c r="T302" s="108"/>
      <c r="U302" s="109">
        <v>-15</v>
      </c>
      <c r="V302" s="2">
        <f t="shared" si="256"/>
        <v>86</v>
      </c>
      <c r="W302" s="10"/>
      <c r="X302" s="13">
        <f t="shared" si="257"/>
        <v>-31</v>
      </c>
      <c r="Y302" s="10"/>
      <c r="Z302" s="14">
        <f t="shared" si="258"/>
        <v>66</v>
      </c>
      <c r="AA302" s="14">
        <f t="shared" si="269"/>
        <v>102</v>
      </c>
      <c r="AB302" s="2">
        <f t="shared" si="259"/>
        <v>168</v>
      </c>
      <c r="AC302" s="2">
        <f t="shared" si="260"/>
        <v>199</v>
      </c>
      <c r="AE302" s="9" t="s">
        <v>37</v>
      </c>
      <c r="AF302" s="314"/>
      <c r="AG302" s="99">
        <f>ROUND(Load!$K$43+'2022'!$E$309*0.485/744,0)</f>
        <v>55</v>
      </c>
      <c r="AH302" s="2">
        <f t="shared" si="261"/>
        <v>55</v>
      </c>
      <c r="AI302" s="9" t="s">
        <v>37</v>
      </c>
      <c r="AJ302" s="2">
        <f>'Hoover with 30 MW Solar'!$I$39</f>
        <v>30</v>
      </c>
      <c r="AK302" s="2">
        <v>35</v>
      </c>
      <c r="AL302" s="314">
        <v>46</v>
      </c>
      <c r="AM302" s="77">
        <v>15</v>
      </c>
      <c r="AN302" s="78">
        <v>50</v>
      </c>
      <c r="AO302" s="78">
        <v>50</v>
      </c>
      <c r="AP302" s="78"/>
      <c r="AQ302" s="78"/>
      <c r="AR302" s="78"/>
      <c r="AS302" s="108"/>
      <c r="AT302" s="108"/>
      <c r="AU302" s="108"/>
      <c r="AV302" s="108"/>
      <c r="AW302" s="108"/>
      <c r="AX302" s="108"/>
      <c r="AY302" s="109">
        <v>-15</v>
      </c>
      <c r="AZ302" s="2">
        <f t="shared" si="262"/>
        <v>211</v>
      </c>
      <c r="BA302" s="10"/>
      <c r="BB302" s="13">
        <f t="shared" si="263"/>
        <v>-156</v>
      </c>
      <c r="BC302" s="10"/>
      <c r="BD302" s="14">
        <f t="shared" si="264"/>
        <v>66</v>
      </c>
      <c r="BE302" s="14">
        <f t="shared" si="268"/>
        <v>102</v>
      </c>
      <c r="BF302" s="2">
        <f t="shared" si="265"/>
        <v>168</v>
      </c>
      <c r="BG302" s="2">
        <f t="shared" si="266"/>
        <v>324</v>
      </c>
    </row>
    <row r="303" spans="1:59" x14ac:dyDescent="0.3">
      <c r="A303" s="9" t="s">
        <v>38</v>
      </c>
      <c r="B303" s="99"/>
      <c r="C303" s="99">
        <f>ROUND(Load!$K$43+'2022'!$E$309*0.485/744,0)</f>
        <v>55</v>
      </c>
      <c r="D303" s="2">
        <f t="shared" si="255"/>
        <v>55</v>
      </c>
      <c r="E303" s="9" t="s">
        <v>38</v>
      </c>
      <c r="F303" s="2">
        <f>'Hoover with 30 MW Solar'!$I$39</f>
        <v>30</v>
      </c>
      <c r="G303" s="2">
        <v>35</v>
      </c>
      <c r="H303" s="314">
        <v>46</v>
      </c>
      <c r="I303" s="77">
        <v>15</v>
      </c>
      <c r="J303" s="78"/>
      <c r="K303" s="78"/>
      <c r="L303" s="78"/>
      <c r="M303" s="78"/>
      <c r="N303" s="108"/>
      <c r="O303" s="108"/>
      <c r="P303" s="108"/>
      <c r="Q303" s="108"/>
      <c r="R303" s="108"/>
      <c r="S303" s="108">
        <v>-25</v>
      </c>
      <c r="T303" s="108"/>
      <c r="U303" s="109">
        <v>-15</v>
      </c>
      <c r="V303" s="2">
        <f t="shared" si="256"/>
        <v>86</v>
      </c>
      <c r="W303" s="10"/>
      <c r="X303" s="13">
        <f t="shared" si="257"/>
        <v>-31</v>
      </c>
      <c r="Y303" s="10"/>
      <c r="Z303" s="14">
        <f t="shared" si="258"/>
        <v>66</v>
      </c>
      <c r="AA303" s="14">
        <f t="shared" si="269"/>
        <v>102</v>
      </c>
      <c r="AB303" s="2">
        <f t="shared" si="259"/>
        <v>168</v>
      </c>
      <c r="AC303" s="2">
        <f t="shared" si="260"/>
        <v>199</v>
      </c>
      <c r="AE303" s="9" t="s">
        <v>38</v>
      </c>
      <c r="AF303" s="314"/>
      <c r="AG303" s="99">
        <f>ROUND(Load!$K$43+'2022'!$E$309*0.485/744,0)</f>
        <v>55</v>
      </c>
      <c r="AH303" s="2">
        <f t="shared" si="261"/>
        <v>55</v>
      </c>
      <c r="AI303" s="9" t="s">
        <v>38</v>
      </c>
      <c r="AJ303" s="2">
        <f>'Hoover with 30 MW Solar'!$I$39</f>
        <v>30</v>
      </c>
      <c r="AK303" s="2">
        <v>35</v>
      </c>
      <c r="AL303" s="314">
        <v>46</v>
      </c>
      <c r="AM303" s="77">
        <v>15</v>
      </c>
      <c r="AN303" s="78">
        <v>50</v>
      </c>
      <c r="AO303" s="78">
        <v>50</v>
      </c>
      <c r="AP303" s="78"/>
      <c r="AQ303" s="78"/>
      <c r="AR303" s="78"/>
      <c r="AS303" s="108"/>
      <c r="AT303" s="108"/>
      <c r="AU303" s="108"/>
      <c r="AV303" s="108"/>
      <c r="AW303" s="108"/>
      <c r="AX303" s="108"/>
      <c r="AY303" s="109">
        <v>-15</v>
      </c>
      <c r="AZ303" s="2">
        <f t="shared" si="262"/>
        <v>211</v>
      </c>
      <c r="BA303" s="10"/>
      <c r="BB303" s="13">
        <f t="shared" si="263"/>
        <v>-156</v>
      </c>
      <c r="BC303" s="10"/>
      <c r="BD303" s="14">
        <f t="shared" si="264"/>
        <v>66</v>
      </c>
      <c r="BE303" s="14">
        <f t="shared" si="268"/>
        <v>102</v>
      </c>
      <c r="BF303" s="2">
        <f t="shared" si="265"/>
        <v>168</v>
      </c>
      <c r="BG303" s="2">
        <f t="shared" si="266"/>
        <v>324</v>
      </c>
    </row>
    <row r="304" spans="1:59" x14ac:dyDescent="0.3">
      <c r="A304" s="9" t="s">
        <v>39</v>
      </c>
      <c r="B304" s="99"/>
      <c r="C304" s="99">
        <f>ROUND(Load!$K$43+'2022'!$E$309*0.485/744,0)</f>
        <v>55</v>
      </c>
      <c r="D304" s="2">
        <f t="shared" si="255"/>
        <v>55</v>
      </c>
      <c r="E304" s="9" t="s">
        <v>39</v>
      </c>
      <c r="F304" s="2">
        <f>'Hoover with 30 MW Solar'!$I$39</f>
        <v>30</v>
      </c>
      <c r="G304" s="2">
        <v>35</v>
      </c>
      <c r="H304" s="314">
        <v>46</v>
      </c>
      <c r="I304" s="77">
        <v>15</v>
      </c>
      <c r="J304" s="78"/>
      <c r="K304" s="78"/>
      <c r="L304" s="78"/>
      <c r="M304" s="78"/>
      <c r="N304" s="108"/>
      <c r="O304" s="108"/>
      <c r="P304" s="108"/>
      <c r="Q304" s="108"/>
      <c r="R304" s="108"/>
      <c r="S304" s="108">
        <v>-25</v>
      </c>
      <c r="T304" s="108"/>
      <c r="U304" s="109">
        <v>-15</v>
      </c>
      <c r="V304" s="2">
        <f t="shared" si="256"/>
        <v>86</v>
      </c>
      <c r="W304" s="10"/>
      <c r="X304" s="13">
        <f t="shared" si="257"/>
        <v>-31</v>
      </c>
      <c r="Y304" s="10"/>
      <c r="Z304" s="14">
        <f t="shared" si="258"/>
        <v>66</v>
      </c>
      <c r="AA304" s="14">
        <f t="shared" si="269"/>
        <v>102</v>
      </c>
      <c r="AB304" s="2">
        <f t="shared" si="259"/>
        <v>168</v>
      </c>
      <c r="AC304" s="2">
        <f t="shared" si="260"/>
        <v>199</v>
      </c>
      <c r="AE304" s="9" t="s">
        <v>39</v>
      </c>
      <c r="AF304" s="314"/>
      <c r="AG304" s="99">
        <f>ROUND(Load!$K$43+'2022'!$E$309*0.485/744,0)</f>
        <v>55</v>
      </c>
      <c r="AH304" s="2">
        <f t="shared" si="261"/>
        <v>55</v>
      </c>
      <c r="AI304" s="9" t="s">
        <v>39</v>
      </c>
      <c r="AJ304" s="2">
        <f>'Hoover with 30 MW Solar'!$I$39</f>
        <v>30</v>
      </c>
      <c r="AK304" s="2">
        <v>35</v>
      </c>
      <c r="AL304" s="314">
        <v>46</v>
      </c>
      <c r="AM304" s="77">
        <v>15</v>
      </c>
      <c r="AN304" s="78">
        <v>50</v>
      </c>
      <c r="AO304" s="78">
        <v>50</v>
      </c>
      <c r="AP304" s="78"/>
      <c r="AQ304" s="78"/>
      <c r="AR304" s="78"/>
      <c r="AS304" s="108"/>
      <c r="AT304" s="108"/>
      <c r="AU304" s="108"/>
      <c r="AV304" s="108"/>
      <c r="AW304" s="108"/>
      <c r="AX304" s="108"/>
      <c r="AY304" s="109">
        <v>-15</v>
      </c>
      <c r="AZ304" s="2">
        <f t="shared" si="262"/>
        <v>211</v>
      </c>
      <c r="BA304" s="10"/>
      <c r="BB304" s="13">
        <f t="shared" si="263"/>
        <v>-156</v>
      </c>
      <c r="BC304" s="10"/>
      <c r="BD304" s="14">
        <f t="shared" si="264"/>
        <v>66</v>
      </c>
      <c r="BE304" s="14">
        <f t="shared" si="268"/>
        <v>102</v>
      </c>
      <c r="BF304" s="2">
        <f t="shared" si="265"/>
        <v>168</v>
      </c>
      <c r="BG304" s="2">
        <f t="shared" si="266"/>
        <v>324</v>
      </c>
    </row>
    <row r="305" spans="1:59" x14ac:dyDescent="0.3">
      <c r="A305" s="9" t="s">
        <v>40</v>
      </c>
      <c r="B305" s="99"/>
      <c r="C305" s="99">
        <f>ROUND(Load!$K$43+'2022'!$E$309*0.485/744,0)</f>
        <v>55</v>
      </c>
      <c r="D305" s="2">
        <f t="shared" si="255"/>
        <v>55</v>
      </c>
      <c r="E305" s="9" t="s">
        <v>40</v>
      </c>
      <c r="F305" s="2">
        <f>'Hoover with 30 MW Solar'!$I$39</f>
        <v>30</v>
      </c>
      <c r="G305" s="2">
        <v>35</v>
      </c>
      <c r="H305" s="314">
        <v>46</v>
      </c>
      <c r="I305" s="77">
        <v>15</v>
      </c>
      <c r="J305" s="78"/>
      <c r="K305" s="78"/>
      <c r="L305" s="78"/>
      <c r="M305" s="78"/>
      <c r="N305" s="108"/>
      <c r="O305" s="108"/>
      <c r="P305" s="108"/>
      <c r="Q305" s="108"/>
      <c r="R305" s="108"/>
      <c r="S305" s="108">
        <v>-25</v>
      </c>
      <c r="T305" s="108"/>
      <c r="U305" s="109">
        <v>-15</v>
      </c>
      <c r="V305" s="2">
        <f t="shared" si="256"/>
        <v>86</v>
      </c>
      <c r="W305" s="10"/>
      <c r="X305" s="13">
        <f t="shared" si="257"/>
        <v>-31</v>
      </c>
      <c r="Y305" s="10"/>
      <c r="Z305" s="14">
        <f t="shared" si="258"/>
        <v>66</v>
      </c>
      <c r="AA305" s="14">
        <f t="shared" si="269"/>
        <v>102</v>
      </c>
      <c r="AB305" s="2">
        <f t="shared" si="259"/>
        <v>168</v>
      </c>
      <c r="AC305" s="2">
        <f t="shared" si="260"/>
        <v>199</v>
      </c>
      <c r="AE305" s="9" t="s">
        <v>40</v>
      </c>
      <c r="AF305" s="314"/>
      <c r="AG305" s="99">
        <f>ROUND(Load!$K$43+'2022'!$E$309*0.485/744,0)</f>
        <v>55</v>
      </c>
      <c r="AH305" s="2">
        <f t="shared" si="261"/>
        <v>55</v>
      </c>
      <c r="AI305" s="9" t="s">
        <v>40</v>
      </c>
      <c r="AJ305" s="2">
        <f>'Hoover with 30 MW Solar'!$I$39</f>
        <v>30</v>
      </c>
      <c r="AK305" s="2">
        <v>35</v>
      </c>
      <c r="AL305" s="314">
        <v>46</v>
      </c>
      <c r="AM305" s="77">
        <v>15</v>
      </c>
      <c r="AN305" s="78">
        <v>50</v>
      </c>
      <c r="AO305" s="78">
        <v>50</v>
      </c>
      <c r="AP305" s="78"/>
      <c r="AQ305" s="78"/>
      <c r="AR305" s="78"/>
      <c r="AS305" s="108"/>
      <c r="AT305" s="108"/>
      <c r="AU305" s="108"/>
      <c r="AV305" s="108"/>
      <c r="AW305" s="108"/>
      <c r="AX305" s="108"/>
      <c r="AY305" s="109">
        <v>-15</v>
      </c>
      <c r="AZ305" s="2">
        <f t="shared" si="262"/>
        <v>211</v>
      </c>
      <c r="BA305" s="10"/>
      <c r="BB305" s="13">
        <f t="shared" si="263"/>
        <v>-156</v>
      </c>
      <c r="BC305" s="10"/>
      <c r="BD305" s="14">
        <f t="shared" si="264"/>
        <v>66</v>
      </c>
      <c r="BE305" s="14">
        <f t="shared" si="268"/>
        <v>102</v>
      </c>
      <c r="BF305" s="2">
        <f t="shared" si="265"/>
        <v>168</v>
      </c>
      <c r="BG305" s="2">
        <f t="shared" si="266"/>
        <v>324</v>
      </c>
    </row>
    <row r="306" spans="1:59" x14ac:dyDescent="0.3">
      <c r="A306" s="9" t="s">
        <v>41</v>
      </c>
      <c r="B306" s="99">
        <v>49</v>
      </c>
      <c r="C306" s="99">
        <f>ROUND(Load!$K$43+'2022'!$E$309*0.485/744,0)</f>
        <v>55</v>
      </c>
      <c r="D306" s="2">
        <f t="shared" si="255"/>
        <v>104</v>
      </c>
      <c r="E306" s="9" t="s">
        <v>41</v>
      </c>
      <c r="F306" s="2"/>
      <c r="G306" s="2">
        <v>35</v>
      </c>
      <c r="H306" s="2"/>
      <c r="I306" s="77"/>
      <c r="J306" s="78">
        <v>50</v>
      </c>
      <c r="K306" s="78">
        <v>50</v>
      </c>
      <c r="L306" s="78"/>
      <c r="M306" s="78"/>
      <c r="N306" s="108"/>
      <c r="O306" s="108"/>
      <c r="P306" s="108"/>
      <c r="Q306" s="108"/>
      <c r="R306" s="108"/>
      <c r="S306" s="108"/>
      <c r="T306" s="108"/>
      <c r="U306" s="109"/>
      <c r="V306" s="2">
        <f t="shared" si="256"/>
        <v>135</v>
      </c>
      <c r="W306" s="10"/>
      <c r="X306" s="11">
        <f t="shared" si="257"/>
        <v>-31</v>
      </c>
      <c r="Y306" s="10"/>
      <c r="Z306" s="12">
        <f t="shared" si="258"/>
        <v>142</v>
      </c>
      <c r="AA306" s="12">
        <f t="shared" si="267"/>
        <v>117</v>
      </c>
      <c r="AB306" s="2">
        <f t="shared" si="259"/>
        <v>259</v>
      </c>
      <c r="AC306" s="2">
        <f t="shared" si="260"/>
        <v>290</v>
      </c>
      <c r="AE306" s="9" t="s">
        <v>41</v>
      </c>
      <c r="AF306" s="314">
        <v>98</v>
      </c>
      <c r="AG306" s="99">
        <f>ROUND(Load!$K$43+'2022'!$E$309*0.485/744,0)</f>
        <v>55</v>
      </c>
      <c r="AH306" s="2">
        <f t="shared" si="261"/>
        <v>153</v>
      </c>
      <c r="AI306" s="9" t="s">
        <v>41</v>
      </c>
      <c r="AJ306" s="2"/>
      <c r="AK306" s="2">
        <v>35</v>
      </c>
      <c r="AL306" s="314"/>
      <c r="AM306" s="77"/>
      <c r="AN306" s="78">
        <v>50</v>
      </c>
      <c r="AO306" s="78">
        <v>50</v>
      </c>
      <c r="AP306" s="78"/>
      <c r="AQ306" s="78"/>
      <c r="AR306" s="78"/>
      <c r="AS306" s="108"/>
      <c r="AT306" s="108"/>
      <c r="AU306" s="108"/>
      <c r="AV306" s="108"/>
      <c r="AW306" s="108"/>
      <c r="AX306" s="108"/>
      <c r="AY306" s="109"/>
      <c r="AZ306" s="2">
        <f t="shared" si="262"/>
        <v>135</v>
      </c>
      <c r="BA306" s="10"/>
      <c r="BB306" s="11">
        <f t="shared" si="263"/>
        <v>18</v>
      </c>
      <c r="BC306" s="10"/>
      <c r="BD306" s="12">
        <f t="shared" si="264"/>
        <v>142</v>
      </c>
      <c r="BE306" s="12">
        <f t="shared" si="268"/>
        <v>117</v>
      </c>
      <c r="BF306" s="2">
        <f t="shared" si="265"/>
        <v>259</v>
      </c>
      <c r="BG306" s="2">
        <f t="shared" si="266"/>
        <v>241</v>
      </c>
    </row>
    <row r="307" spans="1:59" ht="15" thickBot="1" x14ac:dyDescent="0.35">
      <c r="A307" s="15" t="s">
        <v>42</v>
      </c>
      <c r="B307" s="123">
        <v>49</v>
      </c>
      <c r="C307" s="123">
        <f>ROUND(Load!$K$43+'2022'!$E$309*0.485/744,0)</f>
        <v>55</v>
      </c>
      <c r="D307" s="16">
        <f t="shared" si="255"/>
        <v>104</v>
      </c>
      <c r="E307" s="15" t="s">
        <v>42</v>
      </c>
      <c r="F307" s="16"/>
      <c r="G307" s="16">
        <v>35</v>
      </c>
      <c r="H307" s="16"/>
      <c r="I307" s="75"/>
      <c r="J307" s="76">
        <v>50</v>
      </c>
      <c r="K307" s="76">
        <v>50</v>
      </c>
      <c r="L307" s="76"/>
      <c r="M307" s="76"/>
      <c r="N307" s="106"/>
      <c r="O307" s="106"/>
      <c r="P307" s="106"/>
      <c r="Q307" s="106"/>
      <c r="R307" s="106"/>
      <c r="S307" s="106"/>
      <c r="T307" s="106"/>
      <c r="U307" s="107"/>
      <c r="V307" s="16">
        <f t="shared" si="256"/>
        <v>135</v>
      </c>
      <c r="W307" s="10"/>
      <c r="X307" s="17">
        <f t="shared" si="257"/>
        <v>-31</v>
      </c>
      <c r="Y307" s="10"/>
      <c r="Z307" s="18">
        <f t="shared" si="258"/>
        <v>142</v>
      </c>
      <c r="AA307" s="18">
        <f t="shared" si="267"/>
        <v>117</v>
      </c>
      <c r="AB307" s="16">
        <f t="shared" si="259"/>
        <v>259</v>
      </c>
      <c r="AC307" s="16">
        <f t="shared" si="260"/>
        <v>290</v>
      </c>
      <c r="AE307" s="15" t="s">
        <v>42</v>
      </c>
      <c r="AF307" s="16">
        <v>98</v>
      </c>
      <c r="AG307" s="123">
        <f>ROUND(Load!$K$43+'2022'!$E$309*0.485/744,0)</f>
        <v>55</v>
      </c>
      <c r="AH307" s="16">
        <f t="shared" si="261"/>
        <v>153</v>
      </c>
      <c r="AI307" s="15" t="s">
        <v>42</v>
      </c>
      <c r="AJ307" s="16"/>
      <c r="AK307" s="16">
        <v>35</v>
      </c>
      <c r="AL307" s="16"/>
      <c r="AM307" s="75"/>
      <c r="AN307" s="76">
        <v>50</v>
      </c>
      <c r="AO307" s="76">
        <v>50</v>
      </c>
      <c r="AP307" s="76"/>
      <c r="AQ307" s="76"/>
      <c r="AR307" s="76"/>
      <c r="AS307" s="106"/>
      <c r="AT307" s="106"/>
      <c r="AU307" s="106"/>
      <c r="AV307" s="106"/>
      <c r="AW307" s="106"/>
      <c r="AX307" s="106"/>
      <c r="AY307" s="107"/>
      <c r="AZ307" s="16">
        <f t="shared" si="262"/>
        <v>135</v>
      </c>
      <c r="BA307" s="10"/>
      <c r="BB307" s="17">
        <f t="shared" si="263"/>
        <v>18</v>
      </c>
      <c r="BC307" s="10"/>
      <c r="BD307" s="18">
        <f t="shared" si="264"/>
        <v>142</v>
      </c>
      <c r="BE307" s="18">
        <f t="shared" si="268"/>
        <v>117</v>
      </c>
      <c r="BF307" s="16">
        <f t="shared" si="265"/>
        <v>259</v>
      </c>
      <c r="BG307" s="16">
        <f t="shared" si="266"/>
        <v>241</v>
      </c>
    </row>
    <row r="308" spans="1:59" ht="15" thickTop="1" x14ac:dyDescent="0.3">
      <c r="A308" s="2" t="s">
        <v>43</v>
      </c>
      <c r="B308" s="2">
        <f>SUM(B284:B307)</f>
        <v>686</v>
      </c>
      <c r="C308" s="2">
        <f t="shared" ref="C308:D308" si="270">SUM(C284:C307)</f>
        <v>1320</v>
      </c>
      <c r="D308" s="2">
        <f t="shared" si="270"/>
        <v>2006</v>
      </c>
      <c r="E308" s="327" t="s">
        <v>406</v>
      </c>
      <c r="F308" s="2">
        <f t="shared" ref="F308:H308" si="271">SUM(F284:F307)</f>
        <v>480</v>
      </c>
      <c r="G308" s="2">
        <f t="shared" si="271"/>
        <v>840</v>
      </c>
      <c r="H308" s="2">
        <f t="shared" si="271"/>
        <v>368</v>
      </c>
      <c r="I308" s="2">
        <f>SUM(I284:I307)</f>
        <v>240</v>
      </c>
      <c r="J308" s="2">
        <f>SUM(J284:J307)</f>
        <v>400</v>
      </c>
      <c r="K308" s="2">
        <f t="shared" ref="K308:U308" si="272">SUM(K284:K307)</f>
        <v>400</v>
      </c>
      <c r="L308" s="2">
        <f t="shared" si="272"/>
        <v>0</v>
      </c>
      <c r="M308" s="2">
        <f t="shared" si="272"/>
        <v>0</v>
      </c>
      <c r="N308" s="2">
        <f t="shared" si="272"/>
        <v>0</v>
      </c>
      <c r="O308" s="2">
        <f t="shared" ref="O308:P308" si="273">SUM(O284:O307)</f>
        <v>0</v>
      </c>
      <c r="P308" s="2">
        <f t="shared" si="273"/>
        <v>0</v>
      </c>
      <c r="Q308" s="2">
        <f t="shared" ref="Q308" si="274">SUM(Q284:Q307)</f>
        <v>0</v>
      </c>
      <c r="R308" s="2">
        <f t="shared" ref="R308" si="275">SUM(R284:R307)</f>
        <v>0</v>
      </c>
      <c r="S308" s="2">
        <f t="shared" ref="S308" si="276">SUM(S284:S307)</f>
        <v>-200</v>
      </c>
      <c r="T308" s="2">
        <f t="shared" ref="T308" si="277">SUM(T284:T307)</f>
        <v>0</v>
      </c>
      <c r="U308" s="2">
        <f t="shared" si="272"/>
        <v>-240</v>
      </c>
      <c r="V308" s="2">
        <f>SUM(V284:V307)</f>
        <v>2288</v>
      </c>
      <c r="W308" s="10"/>
      <c r="X308" s="2">
        <f>SUM(X284:X307)</f>
        <v>-282</v>
      </c>
      <c r="Y308" s="10"/>
      <c r="Z308" s="19">
        <f>SUM(Z284:Z307)</f>
        <v>2560</v>
      </c>
      <c r="AA308" s="19">
        <f>SUM(AA284:AA307)</f>
        <v>2568</v>
      </c>
      <c r="AB308" s="19">
        <f>SUM(AB284:AB307)</f>
        <v>5128</v>
      </c>
      <c r="AC308" s="19">
        <f>SUM(AC284:AC307)</f>
        <v>5410</v>
      </c>
      <c r="AE308" s="2" t="s">
        <v>43</v>
      </c>
      <c r="AF308" s="2">
        <f>SUM(AF284:AF307)</f>
        <v>784</v>
      </c>
      <c r="AG308" s="2">
        <f t="shared" ref="AG308:AH308" si="278">SUM(AG284:AG307)</f>
        <v>1320</v>
      </c>
      <c r="AH308" s="2">
        <f t="shared" si="278"/>
        <v>2104</v>
      </c>
      <c r="AI308" s="92"/>
      <c r="AJ308" s="2">
        <f t="shared" ref="AJ308:AL308" si="279">SUM(AJ284:AJ307)</f>
        <v>480</v>
      </c>
      <c r="AK308" s="2">
        <f t="shared" si="279"/>
        <v>840</v>
      </c>
      <c r="AL308" s="2">
        <f t="shared" si="279"/>
        <v>368</v>
      </c>
      <c r="AM308" s="2">
        <f>SUM(AM284:AM307)</f>
        <v>240</v>
      </c>
      <c r="AN308" s="2">
        <f t="shared" ref="AN308:AO308" si="280">SUM(AN284:AN307)</f>
        <v>1200</v>
      </c>
      <c r="AO308" s="2">
        <f t="shared" si="280"/>
        <v>1200</v>
      </c>
      <c r="AP308" s="2">
        <f>SUM(AP284:AP307)</f>
        <v>0</v>
      </c>
      <c r="AQ308" s="2">
        <f t="shared" ref="AQ308:AY308" si="281">SUM(AQ284:AQ307)</f>
        <v>0</v>
      </c>
      <c r="AR308" s="2">
        <f t="shared" si="281"/>
        <v>0</v>
      </c>
      <c r="AS308" s="2">
        <f t="shared" si="281"/>
        <v>0</v>
      </c>
      <c r="AT308" s="2">
        <f t="shared" si="281"/>
        <v>0</v>
      </c>
      <c r="AU308" s="2">
        <f t="shared" si="281"/>
        <v>0</v>
      </c>
      <c r="AV308" s="2">
        <f t="shared" si="281"/>
        <v>0</v>
      </c>
      <c r="AW308" s="2">
        <f t="shared" si="281"/>
        <v>0</v>
      </c>
      <c r="AX308" s="2">
        <f t="shared" si="281"/>
        <v>0</v>
      </c>
      <c r="AY308" s="2">
        <f t="shared" si="281"/>
        <v>-240</v>
      </c>
      <c r="AZ308" s="2">
        <f>SUM(AZ284:AZ307)</f>
        <v>4088</v>
      </c>
      <c r="BA308" s="10"/>
      <c r="BB308" s="19">
        <f>SUM(BB284:BB307)</f>
        <v>-1984</v>
      </c>
      <c r="BC308" s="10"/>
      <c r="BD308" s="19">
        <f>SUM(BD284:BD307)</f>
        <v>2560</v>
      </c>
      <c r="BE308" s="19">
        <f>SUM(BE284:BE307)</f>
        <v>2568</v>
      </c>
      <c r="BF308" s="19">
        <f>SUM(BF284:BF307)</f>
        <v>5128</v>
      </c>
      <c r="BG308" s="19">
        <f>SUM(BG284:BG307)</f>
        <v>7112</v>
      </c>
    </row>
    <row r="309" spans="1:59" x14ac:dyDescent="0.3">
      <c r="A309" s="2" t="s">
        <v>44</v>
      </c>
      <c r="B309" s="2">
        <f>B308*(31-$AN281)</f>
        <v>18522</v>
      </c>
      <c r="C309" s="2">
        <f t="shared" ref="C309:D309" si="282">C308*(31-$AN281)</f>
        <v>35640</v>
      </c>
      <c r="D309" s="2">
        <f t="shared" si="282"/>
        <v>54162</v>
      </c>
      <c r="E309" s="328">
        <f>B309+AF309</f>
        <v>21658</v>
      </c>
      <c r="H309" s="124">
        <f>'Hoover with 30 MW Solar'!I44</f>
        <v>368.07439654838703</v>
      </c>
      <c r="I309" s="479" t="s">
        <v>470</v>
      </c>
      <c r="V309" s="2">
        <f>V308*31</f>
        <v>70928</v>
      </c>
      <c r="W309" s="35" t="s">
        <v>153</v>
      </c>
      <c r="X309" s="87">
        <f>-SUMIF(X284:X307,"&lt;0")</f>
        <v>390</v>
      </c>
      <c r="Y309" s="92">
        <f>X309*(31-AN281)</f>
        <v>10530</v>
      </c>
      <c r="Z309" s="92" t="s">
        <v>217</v>
      </c>
      <c r="AE309" s="2" t="s">
        <v>44</v>
      </c>
      <c r="AF309" s="2">
        <f>AF308*$AN281</f>
        <v>3136</v>
      </c>
      <c r="AG309" s="2">
        <f t="shared" ref="AG309:AH309" si="283">AG308*$AN281</f>
        <v>5280</v>
      </c>
      <c r="AH309" s="2">
        <f t="shared" si="283"/>
        <v>8416</v>
      </c>
      <c r="AI309" s="92"/>
      <c r="AJ309" s="92"/>
      <c r="AK309" s="92"/>
      <c r="AL309" s="124">
        <f>H309</f>
        <v>368.07439654838703</v>
      </c>
      <c r="AM309" s="2"/>
      <c r="AN309" s="2"/>
      <c r="AO309" s="2"/>
      <c r="AP309" s="2"/>
      <c r="AQ309" s="92"/>
      <c r="AR309" s="92"/>
      <c r="AS309" s="92"/>
      <c r="AT309" s="92"/>
      <c r="AU309" s="92"/>
      <c r="AV309" s="92"/>
      <c r="AW309" s="92"/>
      <c r="AX309" s="92"/>
      <c r="AY309" s="92"/>
      <c r="AZ309" s="2"/>
      <c r="BA309" s="35" t="s">
        <v>216</v>
      </c>
      <c r="BB309" s="87">
        <f>-SUMIF(BB284:BB307,"&lt;0")</f>
        <v>2128</v>
      </c>
      <c r="BC309" s="92">
        <f>BB309*AN281</f>
        <v>8512</v>
      </c>
      <c r="BD309" s="92" t="s">
        <v>217</v>
      </c>
      <c r="BE309" s="92"/>
      <c r="BF309" s="92"/>
      <c r="BG309" s="92"/>
    </row>
    <row r="310" spans="1:59" x14ac:dyDescent="0.3">
      <c r="A310" s="2" t="s">
        <v>45</v>
      </c>
      <c r="B310" s="20">
        <f>ROUND(B308/48.5,0)</f>
        <v>14</v>
      </c>
      <c r="C310" s="294">
        <f>((B310*(31-AN281)+AF310*AN281)/31)</f>
        <v>14.258064516129032</v>
      </c>
      <c r="D310" s="294">
        <f>C310-Load!K35</f>
        <v>-0.64516129032258007</v>
      </c>
      <c r="F310" s="21">
        <v>24.99</v>
      </c>
      <c r="G310" s="62">
        <f>D492</f>
        <v>49.585162500000003</v>
      </c>
      <c r="H310" s="98">
        <f>$F$479</f>
        <v>43.87</v>
      </c>
      <c r="I310" s="21">
        <v>61.49</v>
      </c>
      <c r="J310" s="21">
        <v>30.9</v>
      </c>
      <c r="K310" s="21">
        <v>30.93</v>
      </c>
      <c r="L310" s="313"/>
      <c r="M310" s="313"/>
      <c r="N310" s="313"/>
      <c r="O310" s="313"/>
      <c r="P310" s="313"/>
      <c r="Q310" s="313"/>
      <c r="R310" s="313"/>
      <c r="S310" s="21">
        <v>310</v>
      </c>
      <c r="T310" s="313"/>
      <c r="U310" s="21"/>
      <c r="X310" s="11">
        <f>SUM(X306:X307,X284:X289)</f>
        <v>46</v>
      </c>
      <c r="Y310" s="92">
        <f>Y309+BC309</f>
        <v>19042</v>
      </c>
      <c r="Z310" s="92" t="s">
        <v>236</v>
      </c>
      <c r="AA310" s="92"/>
      <c r="AE310" s="2" t="s">
        <v>45</v>
      </c>
      <c r="AF310" s="20">
        <f>ROUND(AF308/48.5,0)</f>
        <v>16</v>
      </c>
      <c r="AG310" s="92"/>
      <c r="AH310" s="92"/>
      <c r="AI310" s="92"/>
      <c r="AJ310" s="21"/>
      <c r="AK310" s="21"/>
      <c r="AL310" s="21"/>
      <c r="AM310" s="21">
        <v>61.49</v>
      </c>
      <c r="AN310" s="21">
        <v>30.9</v>
      </c>
      <c r="AO310" s="21">
        <v>30.93</v>
      </c>
      <c r="AP310" s="21"/>
      <c r="AQ310" s="21"/>
      <c r="AR310" s="313"/>
      <c r="AS310" s="313"/>
      <c r="AT310" s="313"/>
      <c r="AU310" s="313"/>
      <c r="AV310" s="313"/>
      <c r="AW310" s="313"/>
      <c r="AX310" s="313"/>
      <c r="AY310" s="21">
        <v>61</v>
      </c>
      <c r="AZ310" s="92"/>
      <c r="BA310" s="92"/>
      <c r="BB310" s="11">
        <f>SUM(BB306:BB307,BB284:BB289)</f>
        <v>144</v>
      </c>
      <c r="BC310" s="92"/>
      <c r="BD310" s="92"/>
      <c r="BE310" s="92"/>
      <c r="BF310" s="92"/>
      <c r="BG310" s="92"/>
    </row>
    <row r="311" spans="1:59" x14ac:dyDescent="0.3">
      <c r="A311" s="2" t="s">
        <v>62</v>
      </c>
      <c r="B311" s="2">
        <f>SUM(B290:B305)</f>
        <v>0</v>
      </c>
      <c r="C311" s="2">
        <f>SUM(C290:C305)</f>
        <v>880</v>
      </c>
      <c r="F311" s="40">
        <f>'Hoover with 30 MW Solar'!I30</f>
        <v>8347.3062929999978</v>
      </c>
      <c r="G311" s="40">
        <f>G308*31</f>
        <v>26040</v>
      </c>
      <c r="H311" s="40">
        <f>'Hoover with 30 MW Solar'!I31</f>
        <v>10503</v>
      </c>
      <c r="I311" s="2">
        <f>I308*(31-$AN281)</f>
        <v>6480</v>
      </c>
      <c r="J311" s="2">
        <f t="shared" ref="J311:U311" si="284">J308*(31-$AN281)</f>
        <v>10800</v>
      </c>
      <c r="K311" s="2">
        <f t="shared" si="284"/>
        <v>10800</v>
      </c>
      <c r="L311" s="2">
        <f t="shared" si="284"/>
        <v>0</v>
      </c>
      <c r="M311" s="2">
        <f t="shared" si="284"/>
        <v>0</v>
      </c>
      <c r="N311" s="2">
        <f t="shared" si="284"/>
        <v>0</v>
      </c>
      <c r="O311" s="2">
        <f t="shared" si="284"/>
        <v>0</v>
      </c>
      <c r="P311" s="2">
        <f t="shared" si="284"/>
        <v>0</v>
      </c>
      <c r="Q311" s="2">
        <f t="shared" si="284"/>
        <v>0</v>
      </c>
      <c r="R311" s="2">
        <f t="shared" si="284"/>
        <v>0</v>
      </c>
      <c r="S311" s="2">
        <f t="shared" si="284"/>
        <v>-5400</v>
      </c>
      <c r="T311" s="2">
        <f t="shared" si="284"/>
        <v>0</v>
      </c>
      <c r="U311" s="2">
        <f t="shared" si="284"/>
        <v>-6480</v>
      </c>
      <c r="X311" s="13">
        <f>SUM(X290:X305)</f>
        <v>-328</v>
      </c>
      <c r="Y311" s="313">
        <f>-SUMIF(X298:X305,"&lt;0")*(31-AN281)</f>
        <v>6696</v>
      </c>
      <c r="Z311" s="313" t="s">
        <v>411</v>
      </c>
      <c r="AA311" s="313"/>
      <c r="AE311" s="2" t="s">
        <v>62</v>
      </c>
      <c r="AF311" s="2">
        <f>SUM(AF290:AF305)</f>
        <v>0</v>
      </c>
      <c r="AG311" s="2">
        <f>SUM(AG290:AG305)</f>
        <v>880</v>
      </c>
      <c r="AH311" s="92"/>
      <c r="AI311" s="92"/>
      <c r="AJ311" s="22"/>
      <c r="AK311" s="22"/>
      <c r="AL311" s="22"/>
      <c r="AM311" s="22">
        <f>AM308*$AN281</f>
        <v>960</v>
      </c>
      <c r="AN311" s="22">
        <f t="shared" ref="AN311:AY311" si="285">AN308*$AN281</f>
        <v>4800</v>
      </c>
      <c r="AO311" s="22">
        <f t="shared" si="285"/>
        <v>4800</v>
      </c>
      <c r="AP311" s="22">
        <f t="shared" si="285"/>
        <v>0</v>
      </c>
      <c r="AQ311" s="22">
        <f t="shared" si="285"/>
        <v>0</v>
      </c>
      <c r="AR311" s="22">
        <f t="shared" si="285"/>
        <v>0</v>
      </c>
      <c r="AS311" s="22">
        <f t="shared" si="285"/>
        <v>0</v>
      </c>
      <c r="AT311" s="22">
        <f t="shared" si="285"/>
        <v>0</v>
      </c>
      <c r="AU311" s="22">
        <f t="shared" si="285"/>
        <v>0</v>
      </c>
      <c r="AV311" s="22">
        <f t="shared" si="285"/>
        <v>0</v>
      </c>
      <c r="AW311" s="22">
        <f t="shared" si="285"/>
        <v>0</v>
      </c>
      <c r="AX311" s="22">
        <f t="shared" si="285"/>
        <v>0</v>
      </c>
      <c r="AY311" s="22">
        <f t="shared" si="285"/>
        <v>-960</v>
      </c>
      <c r="AZ311" s="92"/>
      <c r="BA311" s="92"/>
      <c r="BB311" s="13">
        <f>SUM(BB290:BB305)</f>
        <v>-2128</v>
      </c>
      <c r="BC311" s="92"/>
      <c r="BD311" s="92"/>
      <c r="BE311" s="92"/>
      <c r="BF311" s="92"/>
      <c r="BG311" s="92"/>
    </row>
    <row r="312" spans="1:59" x14ac:dyDescent="0.3">
      <c r="A312" s="2" t="s">
        <v>63</v>
      </c>
      <c r="B312" s="2">
        <f>SUM(B306:B307,B284:B289)</f>
        <v>686</v>
      </c>
      <c r="C312" s="2">
        <f>SUM(C306:C307,C284:C289)</f>
        <v>440</v>
      </c>
      <c r="D312" s="24"/>
      <c r="E312" s="24"/>
      <c r="F312" s="26">
        <f>F311*F310</f>
        <v>208599.18426206993</v>
      </c>
      <c r="G312" s="26">
        <f>G311*G310</f>
        <v>1291197.6315000001</v>
      </c>
      <c r="H312" s="26">
        <f>H311*H310</f>
        <v>460766.61</v>
      </c>
      <c r="I312" s="26">
        <f>I311*I310</f>
        <v>398455.2</v>
      </c>
      <c r="J312" s="26">
        <f t="shared" ref="J312:U312" si="286">J311*J310</f>
        <v>333720</v>
      </c>
      <c r="K312" s="26">
        <f t="shared" si="286"/>
        <v>334044</v>
      </c>
      <c r="L312" s="26">
        <f t="shared" si="286"/>
        <v>0</v>
      </c>
      <c r="M312" s="26">
        <f t="shared" si="286"/>
        <v>0</v>
      </c>
      <c r="N312" s="26">
        <f t="shared" si="286"/>
        <v>0</v>
      </c>
      <c r="O312" s="26">
        <f t="shared" si="286"/>
        <v>0</v>
      </c>
      <c r="P312" s="26">
        <f t="shared" si="286"/>
        <v>0</v>
      </c>
      <c r="Q312" s="26">
        <f t="shared" si="286"/>
        <v>0</v>
      </c>
      <c r="R312" s="26">
        <f t="shared" si="286"/>
        <v>0</v>
      </c>
      <c r="S312" s="26">
        <f t="shared" si="286"/>
        <v>-1674000</v>
      </c>
      <c r="T312" s="26">
        <f t="shared" si="286"/>
        <v>0</v>
      </c>
      <c r="U312" s="26">
        <f t="shared" si="286"/>
        <v>0</v>
      </c>
      <c r="V312" s="24"/>
      <c r="W312" s="24"/>
      <c r="X312" s="24"/>
      <c r="Y312" s="313">
        <f>-SUMIF(BB298:BB305,"&lt;0")*AN281+Y311</f>
        <v>11688</v>
      </c>
      <c r="Z312" s="313" t="s">
        <v>412</v>
      </c>
      <c r="AA312" s="24"/>
      <c r="AB312" s="24"/>
      <c r="AC312" s="24"/>
      <c r="AE312" s="2" t="s">
        <v>63</v>
      </c>
      <c r="AF312" s="2">
        <f>SUM(AF306:AF307,AF284:AF289)</f>
        <v>784</v>
      </c>
      <c r="AG312" s="2">
        <f>SUM(AG306:AG307,AG284:AG289)</f>
        <v>440</v>
      </c>
      <c r="AH312" s="24"/>
      <c r="AI312" s="24"/>
      <c r="AJ312" s="25"/>
      <c r="AK312" s="25"/>
      <c r="AL312" s="25"/>
      <c r="AM312" s="25">
        <f>AM311*AM310</f>
        <v>59030.400000000001</v>
      </c>
      <c r="AN312" s="25">
        <f t="shared" ref="AN312:AY312" si="287">AN311*AN310</f>
        <v>148320</v>
      </c>
      <c r="AO312" s="25">
        <f t="shared" si="287"/>
        <v>148464</v>
      </c>
      <c r="AP312" s="25">
        <f t="shared" si="287"/>
        <v>0</v>
      </c>
      <c r="AQ312" s="25">
        <f t="shared" si="287"/>
        <v>0</v>
      </c>
      <c r="AR312" s="25">
        <f t="shared" si="287"/>
        <v>0</v>
      </c>
      <c r="AS312" s="25">
        <f t="shared" si="287"/>
        <v>0</v>
      </c>
      <c r="AT312" s="25">
        <f t="shared" si="287"/>
        <v>0</v>
      </c>
      <c r="AU312" s="25">
        <f t="shared" si="287"/>
        <v>0</v>
      </c>
      <c r="AV312" s="25">
        <f t="shared" si="287"/>
        <v>0</v>
      </c>
      <c r="AW312" s="25">
        <f t="shared" si="287"/>
        <v>0</v>
      </c>
      <c r="AX312" s="25">
        <f t="shared" si="287"/>
        <v>0</v>
      </c>
      <c r="AY312" s="25">
        <f t="shared" si="287"/>
        <v>-58560</v>
      </c>
      <c r="AZ312" s="24"/>
      <c r="BA312" s="24"/>
      <c r="BB312" s="24"/>
      <c r="BC312" s="24"/>
      <c r="BD312" s="24"/>
      <c r="BE312" s="24"/>
      <c r="BF312" s="24"/>
      <c r="BG312" s="24"/>
    </row>
    <row r="313" spans="1:59" x14ac:dyDescent="0.3">
      <c r="A313" s="23"/>
      <c r="B313" s="23"/>
      <c r="C313" s="35" t="s">
        <v>221</v>
      </c>
      <c r="D313" s="117">
        <f>D309+AH309</f>
        <v>62578</v>
      </c>
      <c r="E313" s="23"/>
      <c r="F313" s="24"/>
      <c r="G313" s="24"/>
      <c r="H313" s="24"/>
      <c r="I313" s="116" t="s">
        <v>222</v>
      </c>
      <c r="J313" s="25">
        <f>SUM(F312:T312)+SUM(AM312:AX312)</f>
        <v>1708597.02576207</v>
      </c>
      <c r="K313" s="23"/>
      <c r="L313" s="92"/>
      <c r="M313" s="92"/>
      <c r="W313" s="23"/>
      <c r="X313" s="11">
        <f>X310*(31-AN281)</f>
        <v>1242</v>
      </c>
      <c r="Y313" s="23"/>
      <c r="Z313" s="23"/>
      <c r="AA313" s="23"/>
      <c r="AB313" s="23"/>
      <c r="AC313" s="23"/>
      <c r="AE313" s="23"/>
      <c r="AF313" s="23"/>
      <c r="AG313" s="23"/>
      <c r="AH313" s="23"/>
      <c r="AI313" s="23"/>
      <c r="AJ313" s="23"/>
      <c r="AK313" s="23"/>
      <c r="AL313" s="23"/>
      <c r="AM313" s="23"/>
      <c r="AN313" s="25"/>
      <c r="AO313" s="23"/>
      <c r="AP313" s="92"/>
      <c r="AQ313" s="92"/>
      <c r="AR313" s="92"/>
      <c r="AS313" s="92"/>
      <c r="AT313" s="92"/>
      <c r="AU313" s="92"/>
      <c r="AV313" s="92"/>
      <c r="AW313" s="92"/>
      <c r="AX313" s="92"/>
      <c r="AY313" s="92"/>
      <c r="AZ313" s="92"/>
      <c r="BA313" s="23"/>
      <c r="BB313" s="11">
        <f>BB310*AN281</f>
        <v>576</v>
      </c>
      <c r="BC313" s="23"/>
      <c r="BD313" s="23"/>
      <c r="BE313" s="23"/>
      <c r="BF313" s="23"/>
      <c r="BG313" s="23"/>
    </row>
    <row r="314" spans="1:59" x14ac:dyDescent="0.3">
      <c r="C314" s="35" t="s">
        <v>131</v>
      </c>
      <c r="D314" s="36">
        <f>D309+AH309-Load!S15</f>
        <v>-1009.3925443764892</v>
      </c>
      <c r="F314" s="23"/>
      <c r="G314" s="23"/>
      <c r="H314" s="23"/>
      <c r="I314" s="23" t="s">
        <v>178</v>
      </c>
      <c r="J314" s="22">
        <f>SUM(F311:T311)+SUM(AM311:AX311)</f>
        <v>78130.306293000001</v>
      </c>
      <c r="K314" s="39">
        <f>J314/D313</f>
        <v>1.248526739317332</v>
      </c>
      <c r="L314" s="92" t="s">
        <v>223</v>
      </c>
      <c r="M314" s="92"/>
      <c r="X314" s="13">
        <f>X311*(31-AN281)</f>
        <v>-8856</v>
      </c>
      <c r="AE314" s="92"/>
      <c r="AF314" s="92"/>
      <c r="AG314" s="35"/>
      <c r="AH314" s="36"/>
      <c r="AI314" s="92"/>
      <c r="AJ314" s="92"/>
      <c r="AK314" s="92"/>
      <c r="AL314" s="92"/>
      <c r="AM314" s="23"/>
      <c r="AN314" s="22"/>
      <c r="AO314" s="39"/>
      <c r="AP314" s="92"/>
      <c r="AQ314" s="92"/>
      <c r="AR314" s="92"/>
      <c r="AS314" s="92"/>
      <c r="AT314" s="92"/>
      <c r="AU314" s="92"/>
      <c r="AV314" s="92"/>
      <c r="AW314" s="92"/>
      <c r="AX314" s="92"/>
      <c r="AY314" s="92"/>
      <c r="AZ314" s="92"/>
      <c r="BA314" s="92"/>
      <c r="BB314" s="13">
        <f>BB311*AN281</f>
        <v>-8512</v>
      </c>
      <c r="BC314" s="92"/>
      <c r="BD314" s="92"/>
      <c r="BE314" s="92"/>
      <c r="BF314" s="92"/>
      <c r="BG314" s="92"/>
    </row>
    <row r="315" spans="1:59" ht="15" thickBot="1" x14ac:dyDescent="0.35">
      <c r="A315" s="313"/>
      <c r="B315" s="313"/>
      <c r="C315" s="35" t="s">
        <v>383</v>
      </c>
      <c r="D315" s="49">
        <f>C310*31*52</f>
        <v>22984</v>
      </c>
      <c r="I315" s="23" t="s">
        <v>47</v>
      </c>
      <c r="J315" s="21">
        <f>J313/J314</f>
        <v>21.868556605353405</v>
      </c>
      <c r="L315" s="92"/>
      <c r="M315" s="92" t="s">
        <v>100</v>
      </c>
      <c r="X315" s="37">
        <f>SUM(X313:X314)+Y309+BB315</f>
        <v>3492</v>
      </c>
      <c r="Y315" t="s">
        <v>159</v>
      </c>
      <c r="AE315" s="23"/>
      <c r="AF315" s="92"/>
      <c r="AG315" s="92"/>
      <c r="AH315" s="92"/>
      <c r="AI315" s="92"/>
      <c r="AJ315" s="92"/>
      <c r="AK315" s="92"/>
      <c r="AL315" s="92"/>
      <c r="AM315" s="23"/>
      <c r="AN315" s="21"/>
      <c r="AO315" s="92"/>
      <c r="AP315" s="92"/>
      <c r="AQ315" s="92"/>
      <c r="AR315" s="92"/>
      <c r="AS315" s="92"/>
      <c r="AT315" s="92"/>
      <c r="AU315" s="92"/>
      <c r="AV315" s="92"/>
      <c r="AW315" s="92"/>
      <c r="AX315" s="92"/>
      <c r="AY315" s="92"/>
      <c r="AZ315" s="92"/>
      <c r="BA315" s="92"/>
      <c r="BB315" s="37">
        <f>SUM(BB313:BB314)+BC309</f>
        <v>576</v>
      </c>
      <c r="BC315" s="92" t="s">
        <v>218</v>
      </c>
      <c r="BD315" s="92"/>
      <c r="BE315" s="92"/>
      <c r="BF315" s="92"/>
      <c r="BG315" s="92"/>
    </row>
    <row r="316" spans="1:59" x14ac:dyDescent="0.3">
      <c r="A316" s="313"/>
      <c r="B316" s="313"/>
      <c r="C316" s="35" t="s">
        <v>384</v>
      </c>
      <c r="D316" s="36">
        <f>D315-Load!K33</f>
        <v>-1040</v>
      </c>
      <c r="I316" s="67" t="s">
        <v>177</v>
      </c>
      <c r="J316" s="68">
        <f>SUM(I311:R311)+SUM(AM311:AX311)</f>
        <v>38640</v>
      </c>
      <c r="L316" s="92" t="s">
        <v>233</v>
      </c>
      <c r="M316" s="31">
        <f>SUM(I311:L311)+SUM(AM311:AP311)</f>
        <v>38640</v>
      </c>
      <c r="X316" s="93">
        <f>(SUM(X313:X314)+Y309)*Y316+BB317</f>
        <v>244440</v>
      </c>
      <c r="Y316" s="57">
        <v>70</v>
      </c>
      <c r="Z316" t="s">
        <v>160</v>
      </c>
      <c r="AE316" s="23"/>
      <c r="AF316" s="92"/>
      <c r="AG316" s="92"/>
      <c r="AH316" s="92"/>
      <c r="AI316" s="92"/>
      <c r="AJ316" s="92"/>
      <c r="AK316" s="92"/>
      <c r="AL316" s="92"/>
      <c r="AM316" s="92"/>
      <c r="AN316" s="92"/>
      <c r="AO316" s="92"/>
      <c r="AP316" s="92"/>
      <c r="AQ316" s="92"/>
      <c r="AR316" s="92"/>
      <c r="AS316" s="92"/>
      <c r="AT316" s="92"/>
      <c r="AU316" s="92"/>
      <c r="AV316" s="92"/>
      <c r="AW316" s="92"/>
      <c r="AX316" s="92"/>
      <c r="AY316" s="92"/>
      <c r="AZ316" s="92"/>
      <c r="BA316" s="92"/>
      <c r="BB316" s="93">
        <f>BB315*BC316</f>
        <v>40320</v>
      </c>
      <c r="BC316" s="93">
        <f>Y316</f>
        <v>70</v>
      </c>
      <c r="BD316" s="92" t="s">
        <v>160</v>
      </c>
      <c r="BE316" s="92"/>
      <c r="BF316" s="92"/>
      <c r="BG316" s="92"/>
    </row>
    <row r="317" spans="1:59" x14ac:dyDescent="0.3">
      <c r="I317" s="69" t="s">
        <v>18</v>
      </c>
      <c r="J317" s="70">
        <f>SUM(I312:R312)+SUM(AM312:AX312)</f>
        <v>1422033.6</v>
      </c>
      <c r="L317" s="92" t="s">
        <v>235</v>
      </c>
      <c r="M317" s="31">
        <f>SUM(M311:T311)+SUM(AQ311:AX311)</f>
        <v>-5400</v>
      </c>
      <c r="X317" s="79">
        <f>X316+J317</f>
        <v>1666473.6</v>
      </c>
      <c r="Y317" t="s">
        <v>161</v>
      </c>
      <c r="AE317" s="23"/>
      <c r="AF317" s="92"/>
      <c r="AG317" s="92"/>
      <c r="AH317" s="92"/>
      <c r="AI317" s="92"/>
      <c r="AJ317" s="92"/>
      <c r="AK317" s="92"/>
      <c r="AL317" s="92"/>
      <c r="AM317" s="92"/>
      <c r="AN317" s="92"/>
      <c r="AO317" s="92"/>
      <c r="AP317" s="92"/>
      <c r="AQ317" s="92"/>
      <c r="AR317" s="92"/>
      <c r="AS317" s="92"/>
      <c r="AT317" s="92"/>
      <c r="AU317" s="92"/>
      <c r="AV317" s="92"/>
      <c r="AW317" s="92"/>
      <c r="AX317" s="92"/>
      <c r="AY317" s="92"/>
      <c r="AZ317" s="92"/>
      <c r="BA317" s="92"/>
      <c r="BB317" s="79">
        <f>BB316</f>
        <v>40320</v>
      </c>
      <c r="BC317" s="92" t="s">
        <v>219</v>
      </c>
      <c r="BD317" s="92"/>
      <c r="BE317" s="92"/>
      <c r="BF317" s="92"/>
      <c r="BG317" s="92"/>
    </row>
    <row r="318" spans="1:59" ht="15" thickBot="1" x14ac:dyDescent="0.35">
      <c r="I318" s="71" t="s">
        <v>156</v>
      </c>
      <c r="J318" s="72">
        <f>J317/J316</f>
        <v>36.802111801242241</v>
      </c>
      <c r="W318" s="38" t="s">
        <v>193</v>
      </c>
      <c r="X318" s="80">
        <f>J316+X315</f>
        <v>42132</v>
      </c>
      <c r="Y318" s="79">
        <f>X317/X318</f>
        <v>39.553631444033044</v>
      </c>
    </row>
    <row r="319" spans="1:59" x14ac:dyDescent="0.3">
      <c r="AE319" s="92"/>
      <c r="AF319" s="92"/>
      <c r="AG319" s="92"/>
      <c r="AH319" s="92"/>
      <c r="AI319" s="92"/>
      <c r="AJ319" s="92"/>
      <c r="AK319" s="92"/>
      <c r="AL319" s="92"/>
      <c r="AM319" s="92"/>
      <c r="AN319" s="115" t="s">
        <v>215</v>
      </c>
      <c r="AO319" s="92"/>
      <c r="AP319" s="92"/>
      <c r="AQ319" s="92"/>
      <c r="AR319" s="92"/>
      <c r="AS319" s="92"/>
      <c r="AT319" s="92"/>
      <c r="AU319" s="92"/>
      <c r="AV319" s="92"/>
      <c r="AW319" s="92"/>
      <c r="AX319" s="92"/>
      <c r="AY319" s="92"/>
      <c r="AZ319" s="92"/>
      <c r="BA319" s="92"/>
      <c r="BB319" s="92"/>
      <c r="BC319" s="92"/>
      <c r="BD319" s="92"/>
      <c r="BE319" s="92"/>
      <c r="BF319" s="92"/>
      <c r="BG319" s="92"/>
    </row>
    <row r="320" spans="1:59" ht="15" thickBot="1" x14ac:dyDescent="0.35">
      <c r="A320" s="2" t="s">
        <v>58</v>
      </c>
      <c r="F320" s="87"/>
      <c r="X320" s="91" t="s">
        <v>0</v>
      </c>
      <c r="Z320" s="481" t="s">
        <v>1</v>
      </c>
      <c r="AA320" s="482"/>
      <c r="AC320" s="1" t="s">
        <v>75</v>
      </c>
      <c r="AE320" s="2" t="s">
        <v>58</v>
      </c>
      <c r="AF320" s="92"/>
      <c r="AG320" s="92"/>
      <c r="AH320" s="92"/>
      <c r="AI320" s="92"/>
      <c r="AJ320" s="92"/>
      <c r="AK320" s="92"/>
      <c r="AL320" s="92"/>
      <c r="AM320" s="37" t="s">
        <v>214</v>
      </c>
      <c r="AN320" s="322">
        <v>5</v>
      </c>
      <c r="AO320" s="313"/>
      <c r="AP320" s="313"/>
      <c r="AQ320" s="313"/>
      <c r="AR320" s="313"/>
      <c r="AS320" s="313"/>
      <c r="AT320" s="313"/>
      <c r="AU320" s="313"/>
      <c r="AV320" s="313"/>
      <c r="AW320" s="313"/>
      <c r="AX320" s="313"/>
      <c r="AY320" s="313"/>
      <c r="AZ320" s="92"/>
      <c r="BA320" s="92"/>
      <c r="BB320" s="114" t="s">
        <v>0</v>
      </c>
      <c r="BC320" s="92"/>
      <c r="BD320" s="481" t="s">
        <v>1</v>
      </c>
      <c r="BE320" s="483"/>
      <c r="BF320" s="482"/>
      <c r="BG320" s="1" t="s">
        <v>75</v>
      </c>
    </row>
    <row r="321" spans="1:59" x14ac:dyDescent="0.3">
      <c r="F321" s="87" t="s">
        <v>415</v>
      </c>
      <c r="I321" s="73" t="s">
        <v>225</v>
      </c>
      <c r="J321" s="74" t="s">
        <v>50</v>
      </c>
      <c r="K321" s="74" t="s">
        <v>224</v>
      </c>
      <c r="L321" s="74"/>
      <c r="M321" s="74"/>
      <c r="N321" s="104"/>
      <c r="O321" s="104"/>
      <c r="P321" s="104"/>
      <c r="Q321" s="104"/>
      <c r="R321" s="104"/>
      <c r="S321" s="104" t="s">
        <v>460</v>
      </c>
      <c r="T321" s="104"/>
      <c r="U321" s="105" t="s">
        <v>238</v>
      </c>
      <c r="X321" s="3" t="s">
        <v>4</v>
      </c>
      <c r="Z321" s="3" t="s">
        <v>4</v>
      </c>
      <c r="AA321" s="4" t="s">
        <v>4</v>
      </c>
      <c r="AB321" s="5" t="s">
        <v>4</v>
      </c>
      <c r="AC321" s="5" t="s">
        <v>6</v>
      </c>
      <c r="AE321" s="92"/>
      <c r="AF321" s="92"/>
      <c r="AG321" s="92"/>
      <c r="AH321" s="92"/>
      <c r="AI321" s="92"/>
      <c r="AJ321" s="92"/>
      <c r="AK321" s="92"/>
      <c r="AL321" s="92"/>
      <c r="AM321" s="73" t="s">
        <v>225</v>
      </c>
      <c r="AN321" s="74" t="s">
        <v>50</v>
      </c>
      <c r="AO321" s="74" t="s">
        <v>224</v>
      </c>
      <c r="AP321" s="74"/>
      <c r="AQ321" s="74"/>
      <c r="AR321" s="74"/>
      <c r="AS321" s="104"/>
      <c r="AT321" s="104"/>
      <c r="AU321" s="104"/>
      <c r="AV321" s="104"/>
      <c r="AW321" s="104"/>
      <c r="AX321" s="104"/>
      <c r="AY321" s="105" t="s">
        <v>238</v>
      </c>
      <c r="AZ321" s="92"/>
      <c r="BA321" s="92"/>
      <c r="BB321" s="3" t="s">
        <v>4</v>
      </c>
      <c r="BC321" s="92"/>
      <c r="BD321" s="3" t="s">
        <v>4</v>
      </c>
      <c r="BE321" s="4" t="s">
        <v>4</v>
      </c>
      <c r="BF321" s="5" t="s">
        <v>4</v>
      </c>
      <c r="BG321" s="5" t="s">
        <v>6</v>
      </c>
    </row>
    <row r="322" spans="1:59" ht="15" thickBot="1" x14ac:dyDescent="0.35">
      <c r="A322" s="2" t="s">
        <v>7</v>
      </c>
      <c r="B322" s="2" t="s">
        <v>8</v>
      </c>
      <c r="C322" s="2" t="s">
        <v>9</v>
      </c>
      <c r="D322" s="2" t="s">
        <v>10</v>
      </c>
      <c r="E322" s="2" t="s">
        <v>7</v>
      </c>
      <c r="F322" s="2" t="s">
        <v>11</v>
      </c>
      <c r="G322" s="2" t="s">
        <v>12</v>
      </c>
      <c r="H322" s="2" t="s">
        <v>13</v>
      </c>
      <c r="I322" s="75" t="s">
        <v>15</v>
      </c>
      <c r="J322" s="76" t="s">
        <v>15</v>
      </c>
      <c r="K322" s="76" t="s">
        <v>15</v>
      </c>
      <c r="L322" s="76"/>
      <c r="M322" s="76"/>
      <c r="N322" s="106"/>
      <c r="O322" s="106"/>
      <c r="P322" s="106"/>
      <c r="Q322" s="106"/>
      <c r="R322" s="106"/>
      <c r="S322" s="106" t="s">
        <v>461</v>
      </c>
      <c r="T322" s="106"/>
      <c r="U322" s="107" t="s">
        <v>15</v>
      </c>
      <c r="V322" s="2" t="s">
        <v>16</v>
      </c>
      <c r="X322" s="6" t="s">
        <v>17</v>
      </c>
      <c r="Z322" s="6" t="s">
        <v>5</v>
      </c>
      <c r="AA322" s="7" t="s">
        <v>15</v>
      </c>
      <c r="AB322" s="8" t="s">
        <v>18</v>
      </c>
      <c r="AC322" s="8" t="s">
        <v>0</v>
      </c>
      <c r="AE322" s="2" t="s">
        <v>7</v>
      </c>
      <c r="AF322" s="2" t="s">
        <v>8</v>
      </c>
      <c r="AG322" s="2" t="s">
        <v>9</v>
      </c>
      <c r="AH322" s="2" t="s">
        <v>10</v>
      </c>
      <c r="AI322" s="2" t="s">
        <v>7</v>
      </c>
      <c r="AJ322" s="2" t="s">
        <v>11</v>
      </c>
      <c r="AK322" s="2" t="s">
        <v>12</v>
      </c>
      <c r="AL322" s="2" t="s">
        <v>13</v>
      </c>
      <c r="AM322" s="75" t="s">
        <v>15</v>
      </c>
      <c r="AN322" s="76" t="s">
        <v>15</v>
      </c>
      <c r="AO322" s="76" t="s">
        <v>15</v>
      </c>
      <c r="AP322" s="76"/>
      <c r="AQ322" s="76"/>
      <c r="AR322" s="76"/>
      <c r="AS322" s="106"/>
      <c r="AT322" s="106"/>
      <c r="AU322" s="106"/>
      <c r="AV322" s="106"/>
      <c r="AW322" s="106"/>
      <c r="AX322" s="106"/>
      <c r="AY322" s="107" t="s">
        <v>15</v>
      </c>
      <c r="AZ322" s="2" t="s">
        <v>16</v>
      </c>
      <c r="BA322" s="92"/>
      <c r="BB322" s="6" t="s">
        <v>17</v>
      </c>
      <c r="BC322" s="92"/>
      <c r="BD322" s="6" t="s">
        <v>5</v>
      </c>
      <c r="BE322" s="7" t="s">
        <v>15</v>
      </c>
      <c r="BF322" s="8" t="s">
        <v>18</v>
      </c>
      <c r="BG322" s="8" t="s">
        <v>0</v>
      </c>
    </row>
    <row r="323" spans="1:59" x14ac:dyDescent="0.3">
      <c r="A323" s="9" t="s">
        <v>19</v>
      </c>
      <c r="B323" s="2">
        <v>241</v>
      </c>
      <c r="C323" s="99">
        <f>ROUND(Load!$L$43+'2022'!$E$348*0.485/720,0)</f>
        <v>103</v>
      </c>
      <c r="D323" s="2">
        <f t="shared" ref="D323:D346" si="288">SUM(B323:C323)</f>
        <v>344</v>
      </c>
      <c r="E323" s="9" t="s">
        <v>19</v>
      </c>
      <c r="F323" s="2"/>
      <c r="G323" s="2">
        <v>35</v>
      </c>
      <c r="H323" s="2"/>
      <c r="I323" s="73"/>
      <c r="J323" s="74">
        <v>50</v>
      </c>
      <c r="K323" s="74">
        <v>50</v>
      </c>
      <c r="L323" s="74"/>
      <c r="M323" s="74"/>
      <c r="N323" s="104"/>
      <c r="O323" s="104"/>
      <c r="P323" s="104"/>
      <c r="Q323" s="104"/>
      <c r="R323" s="104"/>
      <c r="S323" s="104"/>
      <c r="T323" s="104"/>
      <c r="U323" s="105"/>
      <c r="V323" s="2">
        <f t="shared" ref="V323:V346" si="289">SUM(F323:U323)</f>
        <v>135</v>
      </c>
      <c r="W323" s="10"/>
      <c r="X323" s="11">
        <f t="shared" ref="X323:X346" si="290">D323-V323</f>
        <v>209</v>
      </c>
      <c r="Y323" s="10"/>
      <c r="Z323" s="12">
        <f>142-F323-H323</f>
        <v>142</v>
      </c>
      <c r="AA323" s="12">
        <f>217-I323-J323-K323</f>
        <v>117</v>
      </c>
      <c r="AB323" s="2">
        <f>Z323+AA323</f>
        <v>259</v>
      </c>
      <c r="AC323" s="2">
        <f t="shared" ref="AC323:AC346" si="291">Z323+AA323-X323</f>
        <v>50</v>
      </c>
      <c r="AE323" s="9" t="s">
        <v>19</v>
      </c>
      <c r="AF323" s="2">
        <v>241</v>
      </c>
      <c r="AG323" s="99">
        <f>ROUND(Load!$L$43+'2022'!$E$348*0.485/720,0)</f>
        <v>103</v>
      </c>
      <c r="AH323" s="2">
        <f t="shared" ref="AH323:AH346" si="292">SUM(AF323:AG323)</f>
        <v>344</v>
      </c>
      <c r="AI323" s="9" t="s">
        <v>19</v>
      </c>
      <c r="AJ323" s="2"/>
      <c r="AK323" s="2">
        <v>35</v>
      </c>
      <c r="AL323" s="314"/>
      <c r="AM323" s="73"/>
      <c r="AN323" s="74">
        <v>50</v>
      </c>
      <c r="AO323" s="74">
        <v>50</v>
      </c>
      <c r="AP323" s="74"/>
      <c r="AQ323" s="74"/>
      <c r="AR323" s="74"/>
      <c r="AS323" s="104"/>
      <c r="AT323" s="104"/>
      <c r="AU323" s="104"/>
      <c r="AV323" s="104"/>
      <c r="AW323" s="104"/>
      <c r="AX323" s="104"/>
      <c r="AY323" s="105"/>
      <c r="AZ323" s="2">
        <f t="shared" ref="AZ323:AZ346" si="293">SUM(AJ323:AY323)</f>
        <v>135</v>
      </c>
      <c r="BA323" s="10"/>
      <c r="BB323" s="11">
        <f t="shared" ref="BB323:BB346" si="294">AH323-AZ323</f>
        <v>209</v>
      </c>
      <c r="BC323" s="10"/>
      <c r="BD323" s="12">
        <f t="shared" ref="BD323:BD346" si="295">142-AJ323-AL323</f>
        <v>142</v>
      </c>
      <c r="BE323" s="12">
        <f>217-AM323-AN323-AO323</f>
        <v>117</v>
      </c>
      <c r="BF323" s="2">
        <f t="shared" ref="BF323:BF346" si="296">BD323+BE323</f>
        <v>259</v>
      </c>
      <c r="BG323" s="2">
        <f t="shared" ref="BG323:BG346" si="297">BD323+BE323-BB323</f>
        <v>50</v>
      </c>
    </row>
    <row r="324" spans="1:59" x14ac:dyDescent="0.3">
      <c r="A324" s="9" t="s">
        <v>20</v>
      </c>
      <c r="B324" s="2">
        <v>241</v>
      </c>
      <c r="C324" s="99">
        <f>ROUND(Load!$L$43+'2022'!$E$348*0.485/720,0)</f>
        <v>103</v>
      </c>
      <c r="D324" s="2">
        <f t="shared" si="288"/>
        <v>344</v>
      </c>
      <c r="E324" s="9" t="s">
        <v>20</v>
      </c>
      <c r="F324" s="2"/>
      <c r="G324" s="2">
        <v>35</v>
      </c>
      <c r="H324" s="2"/>
      <c r="I324" s="77"/>
      <c r="J324" s="78">
        <v>50</v>
      </c>
      <c r="K324" s="78">
        <v>50</v>
      </c>
      <c r="L324" s="78"/>
      <c r="M324" s="78"/>
      <c r="N324" s="108"/>
      <c r="O324" s="108"/>
      <c r="P324" s="108"/>
      <c r="Q324" s="108"/>
      <c r="R324" s="108"/>
      <c r="S324" s="108"/>
      <c r="T324" s="108"/>
      <c r="U324" s="109"/>
      <c r="V324" s="2">
        <f t="shared" si="289"/>
        <v>135</v>
      </c>
      <c r="W324" s="10"/>
      <c r="X324" s="11">
        <f t="shared" si="290"/>
        <v>209</v>
      </c>
      <c r="Y324" s="10"/>
      <c r="Z324" s="12">
        <f>142-F324-H324</f>
        <v>142</v>
      </c>
      <c r="AA324" s="12">
        <f t="shared" ref="AA324:AA346" si="298">217-I324-J324-K324</f>
        <v>117</v>
      </c>
      <c r="AB324" s="2">
        <f t="shared" ref="AB324:AB346" si="299">Z324+AA324</f>
        <v>259</v>
      </c>
      <c r="AC324" s="2">
        <f t="shared" si="291"/>
        <v>50</v>
      </c>
      <c r="AE324" s="9" t="s">
        <v>20</v>
      </c>
      <c r="AF324" s="2">
        <v>241</v>
      </c>
      <c r="AG324" s="99">
        <f>ROUND(Load!$L$43+'2022'!$E$348*0.485/720,0)</f>
        <v>103</v>
      </c>
      <c r="AH324" s="2">
        <f t="shared" si="292"/>
        <v>344</v>
      </c>
      <c r="AI324" s="9" t="s">
        <v>20</v>
      </c>
      <c r="AJ324" s="2"/>
      <c r="AK324" s="2">
        <v>35</v>
      </c>
      <c r="AL324" s="314"/>
      <c r="AM324" s="77"/>
      <c r="AN324" s="78">
        <v>50</v>
      </c>
      <c r="AO324" s="78">
        <v>50</v>
      </c>
      <c r="AP324" s="78"/>
      <c r="AQ324" s="78"/>
      <c r="AR324" s="78"/>
      <c r="AS324" s="108"/>
      <c r="AT324" s="108"/>
      <c r="AU324" s="108"/>
      <c r="AV324" s="108"/>
      <c r="AW324" s="108"/>
      <c r="AX324" s="108"/>
      <c r="AY324" s="109"/>
      <c r="AZ324" s="2">
        <f t="shared" si="293"/>
        <v>135</v>
      </c>
      <c r="BA324" s="10"/>
      <c r="BB324" s="11">
        <f t="shared" si="294"/>
        <v>209</v>
      </c>
      <c r="BC324" s="10"/>
      <c r="BD324" s="12">
        <f t="shared" si="295"/>
        <v>142</v>
      </c>
      <c r="BE324" s="12">
        <f t="shared" ref="BE324:BE346" si="300">217-AM324-AN324-AO324</f>
        <v>117</v>
      </c>
      <c r="BF324" s="2">
        <f t="shared" si="296"/>
        <v>259</v>
      </c>
      <c r="BG324" s="2">
        <f t="shared" si="297"/>
        <v>50</v>
      </c>
    </row>
    <row r="325" spans="1:59" x14ac:dyDescent="0.3">
      <c r="A325" s="9" t="s">
        <v>21</v>
      </c>
      <c r="B325" s="2">
        <v>241</v>
      </c>
      <c r="C325" s="99">
        <f>ROUND(Load!$L$43+'2022'!$E$348*0.485/720,0)</f>
        <v>103</v>
      </c>
      <c r="D325" s="2">
        <f t="shared" si="288"/>
        <v>344</v>
      </c>
      <c r="E325" s="9" t="s">
        <v>21</v>
      </c>
      <c r="F325" s="2"/>
      <c r="G325" s="2">
        <v>35</v>
      </c>
      <c r="H325" s="2"/>
      <c r="I325" s="77"/>
      <c r="J325" s="78">
        <v>50</v>
      </c>
      <c r="K325" s="78">
        <v>50</v>
      </c>
      <c r="L325" s="78"/>
      <c r="M325" s="78"/>
      <c r="N325" s="108"/>
      <c r="O325" s="108"/>
      <c r="P325" s="108"/>
      <c r="Q325" s="108"/>
      <c r="R325" s="108"/>
      <c r="S325" s="108"/>
      <c r="T325" s="108"/>
      <c r="U325" s="109"/>
      <c r="V325" s="2">
        <f t="shared" si="289"/>
        <v>135</v>
      </c>
      <c r="W325" s="10"/>
      <c r="X325" s="11">
        <f t="shared" si="290"/>
        <v>209</v>
      </c>
      <c r="Y325" s="10"/>
      <c r="Z325" s="12">
        <f t="shared" ref="Z325:Z346" si="301">142-F325-H325</f>
        <v>142</v>
      </c>
      <c r="AA325" s="12">
        <f t="shared" si="298"/>
        <v>117</v>
      </c>
      <c r="AB325" s="2">
        <f t="shared" si="299"/>
        <v>259</v>
      </c>
      <c r="AC325" s="2">
        <f t="shared" si="291"/>
        <v>50</v>
      </c>
      <c r="AE325" s="9" t="s">
        <v>21</v>
      </c>
      <c r="AF325" s="2">
        <v>241</v>
      </c>
      <c r="AG325" s="99">
        <f>ROUND(Load!$L$43+'2022'!$E$348*0.485/720,0)</f>
        <v>103</v>
      </c>
      <c r="AH325" s="2">
        <f t="shared" si="292"/>
        <v>344</v>
      </c>
      <c r="AI325" s="9" t="s">
        <v>21</v>
      </c>
      <c r="AJ325" s="2"/>
      <c r="AK325" s="2">
        <v>35</v>
      </c>
      <c r="AL325" s="314"/>
      <c r="AM325" s="77"/>
      <c r="AN325" s="78">
        <v>50</v>
      </c>
      <c r="AO325" s="78">
        <v>50</v>
      </c>
      <c r="AP325" s="78"/>
      <c r="AQ325" s="78"/>
      <c r="AR325" s="78"/>
      <c r="AS325" s="108"/>
      <c r="AT325" s="108"/>
      <c r="AU325" s="108"/>
      <c r="AV325" s="108"/>
      <c r="AW325" s="108"/>
      <c r="AX325" s="108"/>
      <c r="AY325" s="109"/>
      <c r="AZ325" s="2">
        <f t="shared" si="293"/>
        <v>135</v>
      </c>
      <c r="BA325" s="10"/>
      <c r="BB325" s="11">
        <f t="shared" si="294"/>
        <v>209</v>
      </c>
      <c r="BC325" s="10"/>
      <c r="BD325" s="12">
        <f t="shared" si="295"/>
        <v>142</v>
      </c>
      <c r="BE325" s="12">
        <f t="shared" si="300"/>
        <v>117</v>
      </c>
      <c r="BF325" s="2">
        <f t="shared" si="296"/>
        <v>259</v>
      </c>
      <c r="BG325" s="2">
        <f t="shared" si="297"/>
        <v>50</v>
      </c>
    </row>
    <row r="326" spans="1:59" x14ac:dyDescent="0.3">
      <c r="A326" s="9" t="s">
        <v>22</v>
      </c>
      <c r="B326" s="2">
        <v>241</v>
      </c>
      <c r="C326" s="99">
        <f>ROUND(Load!$L$43+'2022'!$E$348*0.485/720,0)</f>
        <v>103</v>
      </c>
      <c r="D326" s="2">
        <f t="shared" si="288"/>
        <v>344</v>
      </c>
      <c r="E326" s="9" t="s">
        <v>22</v>
      </c>
      <c r="F326" s="2"/>
      <c r="G326" s="2">
        <v>35</v>
      </c>
      <c r="H326" s="2"/>
      <c r="I326" s="77"/>
      <c r="J326" s="78">
        <v>50</v>
      </c>
      <c r="K326" s="78">
        <v>50</v>
      </c>
      <c r="L326" s="78"/>
      <c r="M326" s="78"/>
      <c r="N326" s="108"/>
      <c r="O326" s="108"/>
      <c r="P326" s="108"/>
      <c r="Q326" s="108"/>
      <c r="R326" s="108"/>
      <c r="S326" s="108"/>
      <c r="T326" s="108"/>
      <c r="U326" s="109"/>
      <c r="V326" s="2">
        <f t="shared" si="289"/>
        <v>135</v>
      </c>
      <c r="W326" s="10"/>
      <c r="X326" s="11">
        <f t="shared" si="290"/>
        <v>209</v>
      </c>
      <c r="Y326" s="10"/>
      <c r="Z326" s="12">
        <f t="shared" si="301"/>
        <v>142</v>
      </c>
      <c r="AA326" s="12">
        <f t="shared" si="298"/>
        <v>117</v>
      </c>
      <c r="AB326" s="2">
        <f t="shared" si="299"/>
        <v>259</v>
      </c>
      <c r="AC326" s="2">
        <f t="shared" si="291"/>
        <v>50</v>
      </c>
      <c r="AE326" s="9" t="s">
        <v>22</v>
      </c>
      <c r="AF326" s="2">
        <v>241</v>
      </c>
      <c r="AG326" s="99">
        <f>ROUND(Load!$L$43+'2022'!$E$348*0.485/720,0)</f>
        <v>103</v>
      </c>
      <c r="AH326" s="2">
        <f t="shared" si="292"/>
        <v>344</v>
      </c>
      <c r="AI326" s="9" t="s">
        <v>22</v>
      </c>
      <c r="AJ326" s="2"/>
      <c r="AK326" s="2">
        <v>35</v>
      </c>
      <c r="AL326" s="314"/>
      <c r="AM326" s="77"/>
      <c r="AN326" s="78">
        <v>50</v>
      </c>
      <c r="AO326" s="78">
        <v>50</v>
      </c>
      <c r="AP326" s="78"/>
      <c r="AQ326" s="78"/>
      <c r="AR326" s="78"/>
      <c r="AS326" s="108"/>
      <c r="AT326" s="108"/>
      <c r="AU326" s="108"/>
      <c r="AV326" s="108"/>
      <c r="AW326" s="108"/>
      <c r="AX326" s="108"/>
      <c r="AY326" s="109"/>
      <c r="AZ326" s="2">
        <f t="shared" si="293"/>
        <v>135</v>
      </c>
      <c r="BA326" s="10"/>
      <c r="BB326" s="11">
        <f t="shared" si="294"/>
        <v>209</v>
      </c>
      <c r="BC326" s="10"/>
      <c r="BD326" s="12">
        <f t="shared" si="295"/>
        <v>142</v>
      </c>
      <c r="BE326" s="12">
        <f t="shared" si="300"/>
        <v>117</v>
      </c>
      <c r="BF326" s="2">
        <f t="shared" si="296"/>
        <v>259</v>
      </c>
      <c r="BG326" s="2">
        <f t="shared" si="297"/>
        <v>50</v>
      </c>
    </row>
    <row r="327" spans="1:59" x14ac:dyDescent="0.3">
      <c r="A327" s="9" t="s">
        <v>23</v>
      </c>
      <c r="B327" s="2">
        <v>241</v>
      </c>
      <c r="C327" s="99">
        <f>ROUND(Load!$L$43+'2022'!$E$348*0.485/720,0)</f>
        <v>103</v>
      </c>
      <c r="D327" s="2">
        <f t="shared" si="288"/>
        <v>344</v>
      </c>
      <c r="E327" s="9" t="s">
        <v>23</v>
      </c>
      <c r="F327" s="2"/>
      <c r="G327" s="2">
        <v>35</v>
      </c>
      <c r="H327" s="2"/>
      <c r="I327" s="77"/>
      <c r="J327" s="78">
        <v>50</v>
      </c>
      <c r="K327" s="78">
        <v>50</v>
      </c>
      <c r="L327" s="78"/>
      <c r="M327" s="78"/>
      <c r="N327" s="108"/>
      <c r="O327" s="108"/>
      <c r="P327" s="108"/>
      <c r="Q327" s="108"/>
      <c r="R327" s="108"/>
      <c r="S327" s="108"/>
      <c r="T327" s="108"/>
      <c r="U327" s="109"/>
      <c r="V327" s="2">
        <f t="shared" si="289"/>
        <v>135</v>
      </c>
      <c r="W327" s="10"/>
      <c r="X327" s="11">
        <f t="shared" si="290"/>
        <v>209</v>
      </c>
      <c r="Y327" s="10"/>
      <c r="Z327" s="12">
        <f t="shared" si="301"/>
        <v>142</v>
      </c>
      <c r="AA327" s="12">
        <f t="shared" si="298"/>
        <v>117</v>
      </c>
      <c r="AB327" s="2">
        <f t="shared" si="299"/>
        <v>259</v>
      </c>
      <c r="AC327" s="2">
        <f t="shared" si="291"/>
        <v>50</v>
      </c>
      <c r="AE327" s="9" t="s">
        <v>23</v>
      </c>
      <c r="AF327" s="2">
        <v>241</v>
      </c>
      <c r="AG327" s="99">
        <f>ROUND(Load!$L$43+'2022'!$E$348*0.485/720,0)</f>
        <v>103</v>
      </c>
      <c r="AH327" s="2">
        <f t="shared" si="292"/>
        <v>344</v>
      </c>
      <c r="AI327" s="9" t="s">
        <v>23</v>
      </c>
      <c r="AJ327" s="2"/>
      <c r="AK327" s="2">
        <v>35</v>
      </c>
      <c r="AL327" s="314"/>
      <c r="AM327" s="77"/>
      <c r="AN327" s="78">
        <v>50</v>
      </c>
      <c r="AO327" s="78">
        <v>50</v>
      </c>
      <c r="AP327" s="78"/>
      <c r="AQ327" s="78"/>
      <c r="AR327" s="78"/>
      <c r="AS327" s="108"/>
      <c r="AT327" s="108"/>
      <c r="AU327" s="108"/>
      <c r="AV327" s="108"/>
      <c r="AW327" s="108"/>
      <c r="AX327" s="108"/>
      <c r="AY327" s="109"/>
      <c r="AZ327" s="2">
        <f t="shared" si="293"/>
        <v>135</v>
      </c>
      <c r="BA327" s="10"/>
      <c r="BB327" s="11">
        <f t="shared" si="294"/>
        <v>209</v>
      </c>
      <c r="BC327" s="10"/>
      <c r="BD327" s="12">
        <f t="shared" si="295"/>
        <v>142</v>
      </c>
      <c r="BE327" s="12">
        <f t="shared" si="300"/>
        <v>117</v>
      </c>
      <c r="BF327" s="2">
        <f t="shared" si="296"/>
        <v>259</v>
      </c>
      <c r="BG327" s="2">
        <f t="shared" si="297"/>
        <v>50</v>
      </c>
    </row>
    <row r="328" spans="1:59" x14ac:dyDescent="0.3">
      <c r="A328" s="9" t="s">
        <v>24</v>
      </c>
      <c r="B328" s="2">
        <v>241</v>
      </c>
      <c r="C328" s="99">
        <f>ROUND(Load!$L$43+'2022'!$E$348*0.485/720,0)</f>
        <v>103</v>
      </c>
      <c r="D328" s="2">
        <f t="shared" si="288"/>
        <v>344</v>
      </c>
      <c r="E328" s="9" t="s">
        <v>24</v>
      </c>
      <c r="F328" s="2"/>
      <c r="G328" s="2">
        <v>35</v>
      </c>
      <c r="H328" s="2"/>
      <c r="I328" s="77"/>
      <c r="J328" s="78">
        <v>50</v>
      </c>
      <c r="K328" s="78">
        <v>50</v>
      </c>
      <c r="L328" s="78"/>
      <c r="M328" s="78"/>
      <c r="N328" s="108"/>
      <c r="O328" s="108"/>
      <c r="P328" s="108"/>
      <c r="Q328" s="108"/>
      <c r="R328" s="108"/>
      <c r="S328" s="108"/>
      <c r="T328" s="108"/>
      <c r="U328" s="109"/>
      <c r="V328" s="2">
        <f t="shared" si="289"/>
        <v>135</v>
      </c>
      <c r="W328" s="10"/>
      <c r="X328" s="11">
        <f t="shared" si="290"/>
        <v>209</v>
      </c>
      <c r="Y328" s="10"/>
      <c r="Z328" s="12">
        <f t="shared" si="301"/>
        <v>142</v>
      </c>
      <c r="AA328" s="12">
        <f t="shared" si="298"/>
        <v>117</v>
      </c>
      <c r="AB328" s="2">
        <f t="shared" si="299"/>
        <v>259</v>
      </c>
      <c r="AC328" s="2">
        <f t="shared" si="291"/>
        <v>50</v>
      </c>
      <c r="AE328" s="9" t="s">
        <v>24</v>
      </c>
      <c r="AF328" s="2">
        <v>241</v>
      </c>
      <c r="AG328" s="99">
        <f>ROUND(Load!$L$43+'2022'!$E$348*0.485/720,0)</f>
        <v>103</v>
      </c>
      <c r="AH328" s="2">
        <f t="shared" si="292"/>
        <v>344</v>
      </c>
      <c r="AI328" s="9" t="s">
        <v>24</v>
      </c>
      <c r="AJ328" s="2"/>
      <c r="AK328" s="2">
        <v>35</v>
      </c>
      <c r="AL328" s="314"/>
      <c r="AM328" s="77"/>
      <c r="AN328" s="78">
        <v>50</v>
      </c>
      <c r="AO328" s="78">
        <v>50</v>
      </c>
      <c r="AP328" s="78"/>
      <c r="AQ328" s="78"/>
      <c r="AR328" s="78"/>
      <c r="AS328" s="108"/>
      <c r="AT328" s="108"/>
      <c r="AU328" s="108"/>
      <c r="AV328" s="108"/>
      <c r="AW328" s="108"/>
      <c r="AX328" s="108"/>
      <c r="AY328" s="109"/>
      <c r="AZ328" s="2">
        <f t="shared" si="293"/>
        <v>135</v>
      </c>
      <c r="BA328" s="10"/>
      <c r="BB328" s="11">
        <f t="shared" si="294"/>
        <v>209</v>
      </c>
      <c r="BC328" s="10"/>
      <c r="BD328" s="12">
        <f>142-AJ328-AL328</f>
        <v>142</v>
      </c>
      <c r="BE328" s="12">
        <f t="shared" si="300"/>
        <v>117</v>
      </c>
      <c r="BF328" s="2">
        <f t="shared" si="296"/>
        <v>259</v>
      </c>
      <c r="BG328" s="2">
        <f t="shared" si="297"/>
        <v>50</v>
      </c>
    </row>
    <row r="329" spans="1:59" x14ac:dyDescent="0.3">
      <c r="A329" s="9" t="s">
        <v>25</v>
      </c>
      <c r="B329" s="2">
        <v>49</v>
      </c>
      <c r="C329" s="99">
        <f>ROUND(Load!$L$43+'2022'!$E$348*0.485/720,0)</f>
        <v>103</v>
      </c>
      <c r="D329" s="2">
        <f t="shared" si="288"/>
        <v>152</v>
      </c>
      <c r="E329" s="9" t="s">
        <v>25</v>
      </c>
      <c r="F329" s="2">
        <f>'Hoover with 30 MW Solar'!$J$39</f>
        <v>30</v>
      </c>
      <c r="G329" s="2">
        <v>35</v>
      </c>
      <c r="H329" s="2"/>
      <c r="I329" s="77">
        <v>15</v>
      </c>
      <c r="J329" s="78"/>
      <c r="K329" s="78"/>
      <c r="L329" s="78"/>
      <c r="M329" s="78"/>
      <c r="N329" s="108"/>
      <c r="O329" s="108"/>
      <c r="P329" s="108"/>
      <c r="Q329" s="108"/>
      <c r="R329" s="108"/>
      <c r="S329" s="108"/>
      <c r="T329" s="108"/>
      <c r="U329" s="109">
        <v>-15</v>
      </c>
      <c r="V329" s="2">
        <f t="shared" si="289"/>
        <v>65</v>
      </c>
      <c r="W329" s="10"/>
      <c r="X329" s="13">
        <f t="shared" si="290"/>
        <v>87</v>
      </c>
      <c r="Y329" s="10"/>
      <c r="Z329" s="14">
        <f t="shared" si="301"/>
        <v>112</v>
      </c>
      <c r="AA329" s="14">
        <f t="shared" si="298"/>
        <v>202</v>
      </c>
      <c r="AB329" s="2">
        <f t="shared" si="299"/>
        <v>314</v>
      </c>
      <c r="AC329" s="2">
        <f t="shared" si="291"/>
        <v>227</v>
      </c>
      <c r="AE329" s="9" t="s">
        <v>25</v>
      </c>
      <c r="AF329" s="2">
        <v>241</v>
      </c>
      <c r="AG329" s="99">
        <f>ROUND(Load!$L$43+'2022'!$E$348*0.485/720,0)</f>
        <v>103</v>
      </c>
      <c r="AH329" s="2">
        <f t="shared" si="292"/>
        <v>344</v>
      </c>
      <c r="AI329" s="9" t="s">
        <v>25</v>
      </c>
      <c r="AJ329" s="2">
        <f>'Hoover with 30 MW Solar'!$J$39</f>
        <v>30</v>
      </c>
      <c r="AK329" s="2">
        <v>35</v>
      </c>
      <c r="AL329" s="314"/>
      <c r="AM329" s="77">
        <v>15</v>
      </c>
      <c r="AN329" s="78">
        <v>50</v>
      </c>
      <c r="AO329" s="78">
        <v>50</v>
      </c>
      <c r="AP329" s="78"/>
      <c r="AQ329" s="78"/>
      <c r="AR329" s="78"/>
      <c r="AS329" s="108"/>
      <c r="AT329" s="108"/>
      <c r="AU329" s="108"/>
      <c r="AV329" s="108"/>
      <c r="AW329" s="108"/>
      <c r="AX329" s="108"/>
      <c r="AY329" s="109">
        <v>-15</v>
      </c>
      <c r="AZ329" s="2">
        <f t="shared" si="293"/>
        <v>165</v>
      </c>
      <c r="BA329" s="10"/>
      <c r="BB329" s="13">
        <f t="shared" si="294"/>
        <v>179</v>
      </c>
      <c r="BC329" s="10"/>
      <c r="BD329" s="14">
        <f t="shared" si="295"/>
        <v>112</v>
      </c>
      <c r="BE329" s="14">
        <f t="shared" si="300"/>
        <v>102</v>
      </c>
      <c r="BF329" s="2">
        <f t="shared" si="296"/>
        <v>214</v>
      </c>
      <c r="BG329" s="2">
        <f t="shared" si="297"/>
        <v>35</v>
      </c>
    </row>
    <row r="330" spans="1:59" x14ac:dyDescent="0.3">
      <c r="A330" s="9" t="s">
        <v>26</v>
      </c>
      <c r="B330" s="314">
        <v>49</v>
      </c>
      <c r="C330" s="99">
        <f>ROUND(Load!$L$43+'2022'!$E$348*0.485/720,0)</f>
        <v>103</v>
      </c>
      <c r="D330" s="2">
        <f t="shared" si="288"/>
        <v>152</v>
      </c>
      <c r="E330" s="9" t="s">
        <v>26</v>
      </c>
      <c r="F330" s="2">
        <f>'Hoover with 30 MW Solar'!$J$39</f>
        <v>30</v>
      </c>
      <c r="G330" s="2">
        <v>35</v>
      </c>
      <c r="H330" s="2"/>
      <c r="I330" s="77">
        <v>15</v>
      </c>
      <c r="J330" s="78"/>
      <c r="K330" s="78"/>
      <c r="L330" s="78"/>
      <c r="M330" s="78"/>
      <c r="N330" s="108"/>
      <c r="O330" s="108"/>
      <c r="P330" s="108"/>
      <c r="Q330" s="108"/>
      <c r="R330" s="108"/>
      <c r="S330" s="108"/>
      <c r="T330" s="108"/>
      <c r="U330" s="109">
        <v>-15</v>
      </c>
      <c r="V330" s="2">
        <f t="shared" si="289"/>
        <v>65</v>
      </c>
      <c r="W330" s="10"/>
      <c r="X330" s="13">
        <f t="shared" si="290"/>
        <v>87</v>
      </c>
      <c r="Y330" s="10"/>
      <c r="Z330" s="14">
        <f t="shared" si="301"/>
        <v>112</v>
      </c>
      <c r="AA330" s="14">
        <f t="shared" si="298"/>
        <v>202</v>
      </c>
      <c r="AB330" s="2">
        <f t="shared" si="299"/>
        <v>314</v>
      </c>
      <c r="AC330" s="2">
        <f t="shared" si="291"/>
        <v>227</v>
      </c>
      <c r="AE330" s="9" t="s">
        <v>26</v>
      </c>
      <c r="AF330" s="2">
        <v>241</v>
      </c>
      <c r="AG330" s="99">
        <f>ROUND(Load!$L$43+'2022'!$E$348*0.485/720,0)</f>
        <v>103</v>
      </c>
      <c r="AH330" s="2">
        <f t="shared" si="292"/>
        <v>344</v>
      </c>
      <c r="AI330" s="9" t="s">
        <v>26</v>
      </c>
      <c r="AJ330" s="2">
        <f>'Hoover with 30 MW Solar'!$J$39</f>
        <v>30</v>
      </c>
      <c r="AK330" s="2">
        <v>35</v>
      </c>
      <c r="AL330" s="314"/>
      <c r="AM330" s="77">
        <v>15</v>
      </c>
      <c r="AN330" s="78">
        <v>50</v>
      </c>
      <c r="AO330" s="78">
        <v>50</v>
      </c>
      <c r="AP330" s="78"/>
      <c r="AQ330" s="78"/>
      <c r="AR330" s="78"/>
      <c r="AS330" s="108"/>
      <c r="AT330" s="108"/>
      <c r="AU330" s="108"/>
      <c r="AV330" s="108"/>
      <c r="AW330" s="108"/>
      <c r="AX330" s="108"/>
      <c r="AY330" s="109">
        <v>-15</v>
      </c>
      <c r="AZ330" s="2">
        <f t="shared" si="293"/>
        <v>165</v>
      </c>
      <c r="BA330" s="10"/>
      <c r="BB330" s="13">
        <f t="shared" si="294"/>
        <v>179</v>
      </c>
      <c r="BC330" s="10"/>
      <c r="BD330" s="14">
        <f t="shared" si="295"/>
        <v>112</v>
      </c>
      <c r="BE330" s="14">
        <f t="shared" si="300"/>
        <v>102</v>
      </c>
      <c r="BF330" s="2">
        <f t="shared" si="296"/>
        <v>214</v>
      </c>
      <c r="BG330" s="2">
        <f t="shared" si="297"/>
        <v>35</v>
      </c>
    </row>
    <row r="331" spans="1:59" x14ac:dyDescent="0.3">
      <c r="A331" s="9" t="s">
        <v>27</v>
      </c>
      <c r="B331" s="314">
        <v>49</v>
      </c>
      <c r="C331" s="99">
        <f>ROUND(Load!$L$43+'2022'!$E$348*0.485/720,0)</f>
        <v>103</v>
      </c>
      <c r="D331" s="2">
        <f t="shared" si="288"/>
        <v>152</v>
      </c>
      <c r="E331" s="9" t="s">
        <v>27</v>
      </c>
      <c r="F331" s="2">
        <f>'Hoover with 30 MW Solar'!$J$39</f>
        <v>30</v>
      </c>
      <c r="G331" s="2">
        <v>35</v>
      </c>
      <c r="H331" s="2"/>
      <c r="I331" s="77">
        <v>15</v>
      </c>
      <c r="J331" s="78"/>
      <c r="K331" s="78"/>
      <c r="L331" s="78"/>
      <c r="M331" s="78"/>
      <c r="N331" s="108"/>
      <c r="O331" s="108"/>
      <c r="P331" s="108"/>
      <c r="Q331" s="108"/>
      <c r="R331" s="108"/>
      <c r="S331" s="108"/>
      <c r="T331" s="108"/>
      <c r="U331" s="109">
        <v>-15</v>
      </c>
      <c r="V331" s="2">
        <f t="shared" si="289"/>
        <v>65</v>
      </c>
      <c r="W331" s="10"/>
      <c r="X331" s="13">
        <f t="shared" si="290"/>
        <v>87</v>
      </c>
      <c r="Y331" s="10"/>
      <c r="Z331" s="14">
        <f t="shared" si="301"/>
        <v>112</v>
      </c>
      <c r="AA331" s="14">
        <f t="shared" si="298"/>
        <v>202</v>
      </c>
      <c r="AB331" s="2">
        <f t="shared" si="299"/>
        <v>314</v>
      </c>
      <c r="AC331" s="2">
        <f t="shared" si="291"/>
        <v>227</v>
      </c>
      <c r="AE331" s="9" t="s">
        <v>27</v>
      </c>
      <c r="AF331" s="2">
        <v>241</v>
      </c>
      <c r="AG331" s="99">
        <f>ROUND(Load!$L$43+'2022'!$E$348*0.485/720,0)</f>
        <v>103</v>
      </c>
      <c r="AH331" s="2">
        <f t="shared" si="292"/>
        <v>344</v>
      </c>
      <c r="AI331" s="9" t="s">
        <v>27</v>
      </c>
      <c r="AJ331" s="2">
        <f>'Hoover with 30 MW Solar'!$J$39</f>
        <v>30</v>
      </c>
      <c r="AK331" s="2">
        <v>35</v>
      </c>
      <c r="AL331" s="314"/>
      <c r="AM331" s="77">
        <v>15</v>
      </c>
      <c r="AN331" s="78">
        <v>50</v>
      </c>
      <c r="AO331" s="78">
        <v>50</v>
      </c>
      <c r="AP331" s="78"/>
      <c r="AQ331" s="78"/>
      <c r="AR331" s="78"/>
      <c r="AS331" s="108"/>
      <c r="AT331" s="108"/>
      <c r="AU331" s="108"/>
      <c r="AV331" s="108"/>
      <c r="AW331" s="108"/>
      <c r="AX331" s="108"/>
      <c r="AY331" s="109">
        <v>-15</v>
      </c>
      <c r="AZ331" s="2">
        <f t="shared" si="293"/>
        <v>165</v>
      </c>
      <c r="BA331" s="10"/>
      <c r="BB331" s="13">
        <f t="shared" si="294"/>
        <v>179</v>
      </c>
      <c r="BC331" s="10"/>
      <c r="BD331" s="14">
        <f t="shared" si="295"/>
        <v>112</v>
      </c>
      <c r="BE331" s="14">
        <f t="shared" si="300"/>
        <v>102</v>
      </c>
      <c r="BF331" s="2">
        <f t="shared" si="296"/>
        <v>214</v>
      </c>
      <c r="BG331" s="2">
        <f t="shared" si="297"/>
        <v>35</v>
      </c>
    </row>
    <row r="332" spans="1:59" x14ac:dyDescent="0.3">
      <c r="A332" s="9" t="s">
        <v>28</v>
      </c>
      <c r="B332" s="314">
        <v>49</v>
      </c>
      <c r="C332" s="99">
        <f>ROUND(Load!$L$43+'2022'!$E$348*0.485/720,0)</f>
        <v>103</v>
      </c>
      <c r="D332" s="2">
        <f t="shared" si="288"/>
        <v>152</v>
      </c>
      <c r="E332" s="9" t="s">
        <v>28</v>
      </c>
      <c r="F332" s="2">
        <f>'Hoover with 30 MW Solar'!$J$39</f>
        <v>30</v>
      </c>
      <c r="G332" s="2">
        <v>35</v>
      </c>
      <c r="H332" s="2"/>
      <c r="I332" s="77">
        <v>15</v>
      </c>
      <c r="J332" s="78"/>
      <c r="K332" s="78"/>
      <c r="L332" s="78"/>
      <c r="M332" s="78"/>
      <c r="N332" s="108"/>
      <c r="O332" s="108"/>
      <c r="P332" s="108"/>
      <c r="Q332" s="108"/>
      <c r="R332" s="108"/>
      <c r="S332" s="108"/>
      <c r="T332" s="108"/>
      <c r="U332" s="109">
        <v>-15</v>
      </c>
      <c r="V332" s="2">
        <f t="shared" si="289"/>
        <v>65</v>
      </c>
      <c r="W332" s="10"/>
      <c r="X332" s="13">
        <f t="shared" si="290"/>
        <v>87</v>
      </c>
      <c r="Y332" s="10"/>
      <c r="Z332" s="14">
        <f t="shared" si="301"/>
        <v>112</v>
      </c>
      <c r="AA332" s="14">
        <f t="shared" si="298"/>
        <v>202</v>
      </c>
      <c r="AB332" s="2">
        <f t="shared" si="299"/>
        <v>314</v>
      </c>
      <c r="AC332" s="2">
        <f t="shared" si="291"/>
        <v>227</v>
      </c>
      <c r="AE332" s="9" t="s">
        <v>28</v>
      </c>
      <c r="AF332" s="2">
        <v>241</v>
      </c>
      <c r="AG332" s="99">
        <f>ROUND(Load!$L$43+'2022'!$E$348*0.485/720,0)</f>
        <v>103</v>
      </c>
      <c r="AH332" s="2">
        <f t="shared" si="292"/>
        <v>344</v>
      </c>
      <c r="AI332" s="9" t="s">
        <v>28</v>
      </c>
      <c r="AJ332" s="2">
        <f>'Hoover with 30 MW Solar'!$J$39</f>
        <v>30</v>
      </c>
      <c r="AK332" s="2">
        <v>35</v>
      </c>
      <c r="AL332" s="314"/>
      <c r="AM332" s="77">
        <v>15</v>
      </c>
      <c r="AN332" s="78">
        <v>50</v>
      </c>
      <c r="AO332" s="78">
        <v>50</v>
      </c>
      <c r="AP332" s="78"/>
      <c r="AQ332" s="78"/>
      <c r="AR332" s="78"/>
      <c r="AS332" s="108"/>
      <c r="AT332" s="108"/>
      <c r="AU332" s="108"/>
      <c r="AV332" s="108"/>
      <c r="AW332" s="108"/>
      <c r="AX332" s="108"/>
      <c r="AY332" s="109">
        <v>-15</v>
      </c>
      <c r="AZ332" s="2">
        <f t="shared" si="293"/>
        <v>165</v>
      </c>
      <c r="BA332" s="10"/>
      <c r="BB332" s="13">
        <f t="shared" si="294"/>
        <v>179</v>
      </c>
      <c r="BC332" s="10"/>
      <c r="BD332" s="14">
        <f t="shared" si="295"/>
        <v>112</v>
      </c>
      <c r="BE332" s="14">
        <f t="shared" si="300"/>
        <v>102</v>
      </c>
      <c r="BF332" s="2">
        <f t="shared" si="296"/>
        <v>214</v>
      </c>
      <c r="BG332" s="2">
        <f t="shared" si="297"/>
        <v>35</v>
      </c>
    </row>
    <row r="333" spans="1:59" x14ac:dyDescent="0.3">
      <c r="A333" s="9" t="s">
        <v>29</v>
      </c>
      <c r="B333" s="314">
        <v>49</v>
      </c>
      <c r="C333" s="99">
        <f>ROUND(Load!$L$43+'2022'!$E$348*0.485/720,0)</f>
        <v>103</v>
      </c>
      <c r="D333" s="2">
        <f t="shared" si="288"/>
        <v>152</v>
      </c>
      <c r="E333" s="9" t="s">
        <v>29</v>
      </c>
      <c r="F333" s="2">
        <f>'Hoover with 30 MW Solar'!$J$39</f>
        <v>30</v>
      </c>
      <c r="G333" s="2">
        <v>35</v>
      </c>
      <c r="H333" s="2"/>
      <c r="I333" s="77">
        <v>15</v>
      </c>
      <c r="J333" s="78"/>
      <c r="K333" s="78"/>
      <c r="L333" s="78"/>
      <c r="M333" s="78"/>
      <c r="N333" s="108"/>
      <c r="O333" s="108"/>
      <c r="P333" s="108"/>
      <c r="Q333" s="108"/>
      <c r="R333" s="108"/>
      <c r="S333" s="108"/>
      <c r="T333" s="108"/>
      <c r="U333" s="109">
        <v>-15</v>
      </c>
      <c r="V333" s="2">
        <f t="shared" si="289"/>
        <v>65</v>
      </c>
      <c r="W333" s="10"/>
      <c r="X333" s="13">
        <f t="shared" si="290"/>
        <v>87</v>
      </c>
      <c r="Y333" s="10"/>
      <c r="Z333" s="14">
        <f t="shared" si="301"/>
        <v>112</v>
      </c>
      <c r="AA333" s="14">
        <f t="shared" si="298"/>
        <v>202</v>
      </c>
      <c r="AB333" s="2">
        <f t="shared" si="299"/>
        <v>314</v>
      </c>
      <c r="AC333" s="2">
        <f t="shared" si="291"/>
        <v>227</v>
      </c>
      <c r="AE333" s="9" t="s">
        <v>29</v>
      </c>
      <c r="AF333" s="2">
        <v>241</v>
      </c>
      <c r="AG333" s="99">
        <f>ROUND(Load!$L$43+'2022'!$E$348*0.485/720,0)</f>
        <v>103</v>
      </c>
      <c r="AH333" s="2">
        <f t="shared" si="292"/>
        <v>344</v>
      </c>
      <c r="AI333" s="9" t="s">
        <v>29</v>
      </c>
      <c r="AJ333" s="2">
        <f>'Hoover with 30 MW Solar'!$J$39</f>
        <v>30</v>
      </c>
      <c r="AK333" s="2">
        <v>35</v>
      </c>
      <c r="AL333" s="314"/>
      <c r="AM333" s="77">
        <v>15</v>
      </c>
      <c r="AN333" s="78">
        <v>50</v>
      </c>
      <c r="AO333" s="78">
        <v>50</v>
      </c>
      <c r="AP333" s="78"/>
      <c r="AQ333" s="78"/>
      <c r="AR333" s="78"/>
      <c r="AS333" s="108"/>
      <c r="AT333" s="108"/>
      <c r="AU333" s="108"/>
      <c r="AV333" s="108"/>
      <c r="AW333" s="108"/>
      <c r="AX333" s="108"/>
      <c r="AY333" s="109">
        <v>-15</v>
      </c>
      <c r="AZ333" s="2">
        <f t="shared" si="293"/>
        <v>165</v>
      </c>
      <c r="BA333" s="10"/>
      <c r="BB333" s="13">
        <f t="shared" si="294"/>
        <v>179</v>
      </c>
      <c r="BC333" s="10"/>
      <c r="BD333" s="14">
        <f t="shared" si="295"/>
        <v>112</v>
      </c>
      <c r="BE333" s="14">
        <f t="shared" si="300"/>
        <v>102</v>
      </c>
      <c r="BF333" s="2">
        <f t="shared" si="296"/>
        <v>214</v>
      </c>
      <c r="BG333" s="2">
        <f t="shared" si="297"/>
        <v>35</v>
      </c>
    </row>
    <row r="334" spans="1:59" x14ac:dyDescent="0.3">
      <c r="A334" s="9" t="s">
        <v>30</v>
      </c>
      <c r="B334" s="314">
        <v>49</v>
      </c>
      <c r="C334" s="99">
        <f>ROUND(Load!$L$43+'2022'!$E$348*0.485/720,0)</f>
        <v>103</v>
      </c>
      <c r="D334" s="2">
        <f t="shared" si="288"/>
        <v>152</v>
      </c>
      <c r="E334" s="9" t="s">
        <v>30</v>
      </c>
      <c r="F334" s="2">
        <f>'Hoover with 30 MW Solar'!$J$39</f>
        <v>30</v>
      </c>
      <c r="G334" s="2">
        <v>35</v>
      </c>
      <c r="H334" s="2"/>
      <c r="I334" s="77">
        <v>15</v>
      </c>
      <c r="J334" s="78"/>
      <c r="K334" s="78"/>
      <c r="L334" s="78"/>
      <c r="M334" s="78"/>
      <c r="N334" s="108"/>
      <c r="O334" s="108"/>
      <c r="P334" s="108"/>
      <c r="Q334" s="108"/>
      <c r="R334" s="108"/>
      <c r="S334" s="108"/>
      <c r="T334" s="108"/>
      <c r="U334" s="109">
        <v>-15</v>
      </c>
      <c r="V334" s="2">
        <f t="shared" si="289"/>
        <v>65</v>
      </c>
      <c r="W334" s="10"/>
      <c r="X334" s="13">
        <f t="shared" si="290"/>
        <v>87</v>
      </c>
      <c r="Y334" s="10"/>
      <c r="Z334" s="14">
        <f t="shared" si="301"/>
        <v>112</v>
      </c>
      <c r="AA334" s="14">
        <f t="shared" si="298"/>
        <v>202</v>
      </c>
      <c r="AB334" s="2">
        <f t="shared" si="299"/>
        <v>314</v>
      </c>
      <c r="AC334" s="2">
        <f t="shared" si="291"/>
        <v>227</v>
      </c>
      <c r="AE334" s="9" t="s">
        <v>30</v>
      </c>
      <c r="AF334" s="2">
        <v>241</v>
      </c>
      <c r="AG334" s="99">
        <f>ROUND(Load!$L$43+'2022'!$E$348*0.485/720,0)</f>
        <v>103</v>
      </c>
      <c r="AH334" s="2">
        <f t="shared" si="292"/>
        <v>344</v>
      </c>
      <c r="AI334" s="9" t="s">
        <v>30</v>
      </c>
      <c r="AJ334" s="2">
        <f>'Hoover with 30 MW Solar'!$J$39</f>
        <v>30</v>
      </c>
      <c r="AK334" s="2">
        <v>35</v>
      </c>
      <c r="AL334" s="314"/>
      <c r="AM334" s="77">
        <v>15</v>
      </c>
      <c r="AN334" s="78">
        <v>50</v>
      </c>
      <c r="AO334" s="78">
        <v>50</v>
      </c>
      <c r="AP334" s="78"/>
      <c r="AQ334" s="78"/>
      <c r="AR334" s="78"/>
      <c r="AS334" s="108"/>
      <c r="AT334" s="108"/>
      <c r="AU334" s="108"/>
      <c r="AV334" s="108"/>
      <c r="AW334" s="108"/>
      <c r="AX334" s="108"/>
      <c r="AY334" s="109">
        <v>-15</v>
      </c>
      <c r="AZ334" s="2">
        <f t="shared" si="293"/>
        <v>165</v>
      </c>
      <c r="BA334" s="10"/>
      <c r="BB334" s="13">
        <f t="shared" si="294"/>
        <v>179</v>
      </c>
      <c r="BC334" s="10"/>
      <c r="BD334" s="14">
        <f t="shared" si="295"/>
        <v>112</v>
      </c>
      <c r="BE334" s="14">
        <f t="shared" si="300"/>
        <v>102</v>
      </c>
      <c r="BF334" s="2">
        <f t="shared" si="296"/>
        <v>214</v>
      </c>
      <c r="BG334" s="2">
        <f t="shared" si="297"/>
        <v>35</v>
      </c>
    </row>
    <row r="335" spans="1:59" x14ac:dyDescent="0.3">
      <c r="A335" s="9" t="s">
        <v>31</v>
      </c>
      <c r="B335" s="314">
        <v>49</v>
      </c>
      <c r="C335" s="99">
        <f>ROUND(Load!$L$43+'2022'!$E$348*0.485/720,0)</f>
        <v>103</v>
      </c>
      <c r="D335" s="2">
        <f t="shared" si="288"/>
        <v>152</v>
      </c>
      <c r="E335" s="9" t="s">
        <v>31</v>
      </c>
      <c r="F335" s="2">
        <f>'Hoover with 30 MW Solar'!$J$39</f>
        <v>30</v>
      </c>
      <c r="G335" s="2">
        <v>35</v>
      </c>
      <c r="H335" s="2"/>
      <c r="I335" s="77">
        <v>15</v>
      </c>
      <c r="J335" s="78"/>
      <c r="K335" s="78"/>
      <c r="L335" s="78"/>
      <c r="M335" s="78"/>
      <c r="N335" s="108"/>
      <c r="O335" s="108"/>
      <c r="P335" s="108"/>
      <c r="Q335" s="108"/>
      <c r="R335" s="108"/>
      <c r="S335" s="108"/>
      <c r="T335" s="108"/>
      <c r="U335" s="109">
        <v>-15</v>
      </c>
      <c r="V335" s="2">
        <f t="shared" si="289"/>
        <v>65</v>
      </c>
      <c r="W335" s="10"/>
      <c r="X335" s="13">
        <f t="shared" si="290"/>
        <v>87</v>
      </c>
      <c r="Y335" s="10"/>
      <c r="Z335" s="14">
        <f t="shared" si="301"/>
        <v>112</v>
      </c>
      <c r="AA335" s="14">
        <f t="shared" si="298"/>
        <v>202</v>
      </c>
      <c r="AB335" s="2">
        <f t="shared" si="299"/>
        <v>314</v>
      </c>
      <c r="AC335" s="2">
        <f t="shared" si="291"/>
        <v>227</v>
      </c>
      <c r="AE335" s="9" t="s">
        <v>31</v>
      </c>
      <c r="AF335" s="2">
        <v>241</v>
      </c>
      <c r="AG335" s="99">
        <f>ROUND(Load!$L$43+'2022'!$E$348*0.485/720,0)</f>
        <v>103</v>
      </c>
      <c r="AH335" s="2">
        <f t="shared" si="292"/>
        <v>344</v>
      </c>
      <c r="AI335" s="9" t="s">
        <v>31</v>
      </c>
      <c r="AJ335" s="2">
        <f>'Hoover with 30 MW Solar'!$J$39</f>
        <v>30</v>
      </c>
      <c r="AK335" s="2">
        <v>35</v>
      </c>
      <c r="AL335" s="314"/>
      <c r="AM335" s="77">
        <v>15</v>
      </c>
      <c r="AN335" s="78">
        <v>50</v>
      </c>
      <c r="AO335" s="78">
        <v>50</v>
      </c>
      <c r="AP335" s="78"/>
      <c r="AQ335" s="78"/>
      <c r="AR335" s="78"/>
      <c r="AS335" s="108"/>
      <c r="AT335" s="108"/>
      <c r="AU335" s="108"/>
      <c r="AV335" s="108"/>
      <c r="AW335" s="108"/>
      <c r="AX335" s="108"/>
      <c r="AY335" s="109">
        <v>-15</v>
      </c>
      <c r="AZ335" s="2">
        <f t="shared" si="293"/>
        <v>165</v>
      </c>
      <c r="BA335" s="10"/>
      <c r="BB335" s="13">
        <f t="shared" si="294"/>
        <v>179</v>
      </c>
      <c r="BC335" s="10"/>
      <c r="BD335" s="14">
        <f t="shared" si="295"/>
        <v>112</v>
      </c>
      <c r="BE335" s="14">
        <f t="shared" si="300"/>
        <v>102</v>
      </c>
      <c r="BF335" s="2">
        <f t="shared" si="296"/>
        <v>214</v>
      </c>
      <c r="BG335" s="2">
        <f t="shared" si="297"/>
        <v>35</v>
      </c>
    </row>
    <row r="336" spans="1:59" x14ac:dyDescent="0.3">
      <c r="A336" s="9" t="s">
        <v>32</v>
      </c>
      <c r="B336" s="314">
        <v>49</v>
      </c>
      <c r="C336" s="99">
        <f>ROUND(Load!$L$43+'2022'!$E$348*0.485/720,0)</f>
        <v>103</v>
      </c>
      <c r="D336" s="2">
        <f t="shared" si="288"/>
        <v>152</v>
      </c>
      <c r="E336" s="9" t="s">
        <v>32</v>
      </c>
      <c r="F336" s="2">
        <f>'Hoover with 30 MW Solar'!$J$39</f>
        <v>30</v>
      </c>
      <c r="G336" s="2">
        <v>35</v>
      </c>
      <c r="H336" s="2"/>
      <c r="I336" s="77">
        <v>15</v>
      </c>
      <c r="J336" s="78"/>
      <c r="K336" s="78"/>
      <c r="L336" s="78"/>
      <c r="M336" s="78"/>
      <c r="N336" s="108"/>
      <c r="O336" s="108"/>
      <c r="P336" s="108"/>
      <c r="Q336" s="108"/>
      <c r="R336" s="108"/>
      <c r="S336" s="108"/>
      <c r="T336" s="108"/>
      <c r="U336" s="109">
        <v>-15</v>
      </c>
      <c r="V336" s="2">
        <f t="shared" si="289"/>
        <v>65</v>
      </c>
      <c r="W336" s="10"/>
      <c r="X336" s="13">
        <f t="shared" si="290"/>
        <v>87</v>
      </c>
      <c r="Y336" s="10"/>
      <c r="Z336" s="14">
        <f t="shared" si="301"/>
        <v>112</v>
      </c>
      <c r="AA336" s="14">
        <f t="shared" si="298"/>
        <v>202</v>
      </c>
      <c r="AB336" s="2">
        <f t="shared" si="299"/>
        <v>314</v>
      </c>
      <c r="AC336" s="2">
        <f t="shared" si="291"/>
        <v>227</v>
      </c>
      <c r="AE336" s="9" t="s">
        <v>32</v>
      </c>
      <c r="AF336" s="2">
        <v>241</v>
      </c>
      <c r="AG336" s="99">
        <f>ROUND(Load!$L$43+'2022'!$E$348*0.485/720,0)</f>
        <v>103</v>
      </c>
      <c r="AH336" s="2">
        <f t="shared" si="292"/>
        <v>344</v>
      </c>
      <c r="AI336" s="9" t="s">
        <v>32</v>
      </c>
      <c r="AJ336" s="2">
        <f>'Hoover with 30 MW Solar'!$J$39</f>
        <v>30</v>
      </c>
      <c r="AK336" s="2">
        <v>35</v>
      </c>
      <c r="AL336" s="314"/>
      <c r="AM336" s="77">
        <v>15</v>
      </c>
      <c r="AN336" s="78">
        <v>50</v>
      </c>
      <c r="AO336" s="78">
        <v>50</v>
      </c>
      <c r="AP336" s="78"/>
      <c r="AQ336" s="78"/>
      <c r="AR336" s="78"/>
      <c r="AS336" s="108"/>
      <c r="AT336" s="108"/>
      <c r="AU336" s="108"/>
      <c r="AV336" s="108"/>
      <c r="AW336" s="108"/>
      <c r="AX336" s="108"/>
      <c r="AY336" s="109">
        <v>-15</v>
      </c>
      <c r="AZ336" s="2">
        <f t="shared" si="293"/>
        <v>165</v>
      </c>
      <c r="BA336" s="10"/>
      <c r="BB336" s="13">
        <f t="shared" si="294"/>
        <v>179</v>
      </c>
      <c r="BC336" s="10"/>
      <c r="BD336" s="14">
        <f t="shared" si="295"/>
        <v>112</v>
      </c>
      <c r="BE336" s="14">
        <f t="shared" si="300"/>
        <v>102</v>
      </c>
      <c r="BF336" s="2">
        <f t="shared" si="296"/>
        <v>214</v>
      </c>
      <c r="BG336" s="2">
        <f t="shared" si="297"/>
        <v>35</v>
      </c>
    </row>
    <row r="337" spans="1:59" x14ac:dyDescent="0.3">
      <c r="A337" s="9" t="s">
        <v>33</v>
      </c>
      <c r="B337" s="2"/>
      <c r="C337" s="99">
        <f>ROUND(Load!$L$43+'2022'!$E$348*0.485/720,0)</f>
        <v>103</v>
      </c>
      <c r="D337" s="2">
        <f t="shared" si="288"/>
        <v>103</v>
      </c>
      <c r="E337" s="9" t="s">
        <v>33</v>
      </c>
      <c r="F337" s="2">
        <f>'Hoover with 30 MW Solar'!$J$39</f>
        <v>30</v>
      </c>
      <c r="G337" s="2">
        <v>35</v>
      </c>
      <c r="H337" s="2">
        <v>38</v>
      </c>
      <c r="I337" s="77">
        <v>15</v>
      </c>
      <c r="J337" s="78"/>
      <c r="K337" s="78"/>
      <c r="L337" s="78"/>
      <c r="M337" s="78"/>
      <c r="N337" s="108"/>
      <c r="O337" s="108"/>
      <c r="P337" s="108"/>
      <c r="Q337" s="108"/>
      <c r="R337" s="108"/>
      <c r="S337" s="108">
        <v>-25</v>
      </c>
      <c r="T337" s="108"/>
      <c r="U337" s="109">
        <v>-15</v>
      </c>
      <c r="V337" s="2">
        <f t="shared" si="289"/>
        <v>78</v>
      </c>
      <c r="W337" s="10"/>
      <c r="X337" s="13">
        <f t="shared" si="290"/>
        <v>25</v>
      </c>
      <c r="Y337" s="10"/>
      <c r="Z337" s="14">
        <f t="shared" si="301"/>
        <v>74</v>
      </c>
      <c r="AA337" s="14">
        <f t="shared" si="298"/>
        <v>202</v>
      </c>
      <c r="AB337" s="2">
        <f t="shared" si="299"/>
        <v>276</v>
      </c>
      <c r="AC337" s="2">
        <f t="shared" si="291"/>
        <v>251</v>
      </c>
      <c r="AE337" s="9" t="s">
        <v>33</v>
      </c>
      <c r="AF337" s="2"/>
      <c r="AG337" s="99">
        <f>ROUND(Load!$L$43+'2022'!$E$348*0.485/720,0)</f>
        <v>103</v>
      </c>
      <c r="AH337" s="2">
        <f t="shared" si="292"/>
        <v>103</v>
      </c>
      <c r="AI337" s="9" t="s">
        <v>33</v>
      </c>
      <c r="AJ337" s="2">
        <f>'Hoover with 30 MW Solar'!$J$39</f>
        <v>30</v>
      </c>
      <c r="AK337" s="2">
        <v>35</v>
      </c>
      <c r="AL337" s="314">
        <v>38</v>
      </c>
      <c r="AM337" s="77">
        <v>15</v>
      </c>
      <c r="AN337" s="78">
        <v>50</v>
      </c>
      <c r="AO337" s="78">
        <v>50</v>
      </c>
      <c r="AP337" s="78"/>
      <c r="AQ337" s="78"/>
      <c r="AR337" s="78"/>
      <c r="AS337" s="108"/>
      <c r="AT337" s="108"/>
      <c r="AU337" s="108"/>
      <c r="AV337" s="108"/>
      <c r="AW337" s="108"/>
      <c r="AX337" s="108"/>
      <c r="AY337" s="109">
        <v>-15</v>
      </c>
      <c r="AZ337" s="2">
        <f t="shared" si="293"/>
        <v>203</v>
      </c>
      <c r="BA337" s="10"/>
      <c r="BB337" s="13">
        <f t="shared" si="294"/>
        <v>-100</v>
      </c>
      <c r="BC337" s="10"/>
      <c r="BD337" s="14">
        <f t="shared" si="295"/>
        <v>74</v>
      </c>
      <c r="BE337" s="14">
        <f t="shared" si="300"/>
        <v>102</v>
      </c>
      <c r="BF337" s="2">
        <f t="shared" si="296"/>
        <v>176</v>
      </c>
      <c r="BG337" s="2">
        <f t="shared" si="297"/>
        <v>276</v>
      </c>
    </row>
    <row r="338" spans="1:59" x14ac:dyDescent="0.3">
      <c r="A338" s="9" t="s">
        <v>34</v>
      </c>
      <c r="B338" s="2"/>
      <c r="C338" s="99">
        <f>ROUND(Load!$L$43+'2022'!$E$348*0.485/720,0)</f>
        <v>103</v>
      </c>
      <c r="D338" s="2">
        <f t="shared" si="288"/>
        <v>103</v>
      </c>
      <c r="E338" s="9" t="s">
        <v>34</v>
      </c>
      <c r="F338" s="2">
        <f>'Hoover with 30 MW Solar'!$J$39</f>
        <v>30</v>
      </c>
      <c r="G338" s="2">
        <v>35</v>
      </c>
      <c r="H338" s="314">
        <v>38</v>
      </c>
      <c r="I338" s="77">
        <v>15</v>
      </c>
      <c r="J338" s="78"/>
      <c r="K338" s="78"/>
      <c r="L338" s="78"/>
      <c r="M338" s="78"/>
      <c r="N338" s="108"/>
      <c r="O338" s="108"/>
      <c r="P338" s="108"/>
      <c r="Q338" s="108"/>
      <c r="R338" s="108"/>
      <c r="S338" s="108">
        <v>-25</v>
      </c>
      <c r="T338" s="108"/>
      <c r="U338" s="109">
        <v>-15</v>
      </c>
      <c r="V338" s="2">
        <f t="shared" si="289"/>
        <v>78</v>
      </c>
      <c r="W338" s="10"/>
      <c r="X338" s="13">
        <f t="shared" si="290"/>
        <v>25</v>
      </c>
      <c r="Y338" s="10"/>
      <c r="Z338" s="14">
        <f t="shared" si="301"/>
        <v>74</v>
      </c>
      <c r="AA338" s="14">
        <f t="shared" si="298"/>
        <v>202</v>
      </c>
      <c r="AB338" s="2">
        <f t="shared" si="299"/>
        <v>276</v>
      </c>
      <c r="AC338" s="2">
        <f t="shared" si="291"/>
        <v>251</v>
      </c>
      <c r="AE338" s="9" t="s">
        <v>34</v>
      </c>
      <c r="AF338" s="2"/>
      <c r="AG338" s="99">
        <f>ROUND(Load!$L$43+'2022'!$E$348*0.485/720,0)</f>
        <v>103</v>
      </c>
      <c r="AH338" s="2">
        <f t="shared" si="292"/>
        <v>103</v>
      </c>
      <c r="AI338" s="9" t="s">
        <v>34</v>
      </c>
      <c r="AJ338" s="2">
        <f>'Hoover with 30 MW Solar'!$J$39</f>
        <v>30</v>
      </c>
      <c r="AK338" s="2">
        <v>35</v>
      </c>
      <c r="AL338" s="314">
        <v>38</v>
      </c>
      <c r="AM338" s="77">
        <v>15</v>
      </c>
      <c r="AN338" s="78">
        <v>50</v>
      </c>
      <c r="AO338" s="78">
        <v>50</v>
      </c>
      <c r="AP338" s="78"/>
      <c r="AQ338" s="78"/>
      <c r="AR338" s="78"/>
      <c r="AS338" s="108"/>
      <c r="AT338" s="108"/>
      <c r="AU338" s="108"/>
      <c r="AV338" s="108"/>
      <c r="AW338" s="108"/>
      <c r="AX338" s="108"/>
      <c r="AY338" s="109">
        <v>-15</v>
      </c>
      <c r="AZ338" s="2">
        <f t="shared" si="293"/>
        <v>203</v>
      </c>
      <c r="BA338" s="10"/>
      <c r="BB338" s="13">
        <f t="shared" si="294"/>
        <v>-100</v>
      </c>
      <c r="BC338" s="10"/>
      <c r="BD338" s="14">
        <f t="shared" si="295"/>
        <v>74</v>
      </c>
      <c r="BE338" s="14">
        <f t="shared" si="300"/>
        <v>102</v>
      </c>
      <c r="BF338" s="2">
        <f t="shared" si="296"/>
        <v>176</v>
      </c>
      <c r="BG338" s="2">
        <f t="shared" si="297"/>
        <v>276</v>
      </c>
    </row>
    <row r="339" spans="1:59" x14ac:dyDescent="0.3">
      <c r="A339" s="9" t="s">
        <v>35</v>
      </c>
      <c r="B339" s="2"/>
      <c r="C339" s="99">
        <f>ROUND(Load!$L$43+'2022'!$E$348*0.485/720,0)</f>
        <v>103</v>
      </c>
      <c r="D339" s="2">
        <f t="shared" si="288"/>
        <v>103</v>
      </c>
      <c r="E339" s="9" t="s">
        <v>35</v>
      </c>
      <c r="F339" s="2">
        <f>'Hoover with 30 MW Solar'!$J$39</f>
        <v>30</v>
      </c>
      <c r="G339" s="2">
        <v>35</v>
      </c>
      <c r="H339" s="314">
        <v>38</v>
      </c>
      <c r="I339" s="77">
        <v>15</v>
      </c>
      <c r="J339" s="78"/>
      <c r="K339" s="78"/>
      <c r="L339" s="78"/>
      <c r="M339" s="78"/>
      <c r="N339" s="108"/>
      <c r="O339" s="108"/>
      <c r="P339" s="108"/>
      <c r="Q339" s="108"/>
      <c r="R339" s="108"/>
      <c r="S339" s="108">
        <v>-25</v>
      </c>
      <c r="T339" s="108"/>
      <c r="U339" s="109">
        <v>-15</v>
      </c>
      <c r="V339" s="2">
        <f t="shared" si="289"/>
        <v>78</v>
      </c>
      <c r="W339" s="10"/>
      <c r="X339" s="13">
        <f t="shared" si="290"/>
        <v>25</v>
      </c>
      <c r="Y339" s="10"/>
      <c r="Z339" s="14">
        <f t="shared" si="301"/>
        <v>74</v>
      </c>
      <c r="AA339" s="14">
        <f t="shared" si="298"/>
        <v>202</v>
      </c>
      <c r="AB339" s="2">
        <f t="shared" si="299"/>
        <v>276</v>
      </c>
      <c r="AC339" s="2">
        <f t="shared" si="291"/>
        <v>251</v>
      </c>
      <c r="AE339" s="9" t="s">
        <v>35</v>
      </c>
      <c r="AF339" s="2"/>
      <c r="AG339" s="99">
        <f>ROUND(Load!$L$43+'2022'!$E$348*0.485/720,0)</f>
        <v>103</v>
      </c>
      <c r="AH339" s="2">
        <f t="shared" si="292"/>
        <v>103</v>
      </c>
      <c r="AI339" s="9" t="s">
        <v>35</v>
      </c>
      <c r="AJ339" s="2">
        <f>'Hoover with 30 MW Solar'!$J$39</f>
        <v>30</v>
      </c>
      <c r="AK339" s="2">
        <v>35</v>
      </c>
      <c r="AL339" s="314">
        <v>38</v>
      </c>
      <c r="AM339" s="77">
        <v>15</v>
      </c>
      <c r="AN339" s="78">
        <v>50</v>
      </c>
      <c r="AO339" s="78">
        <v>50</v>
      </c>
      <c r="AP339" s="78"/>
      <c r="AQ339" s="78"/>
      <c r="AR339" s="78"/>
      <c r="AS339" s="108"/>
      <c r="AT339" s="108"/>
      <c r="AU339" s="108"/>
      <c r="AV339" s="108"/>
      <c r="AW339" s="108"/>
      <c r="AX339" s="108"/>
      <c r="AY339" s="109">
        <v>-15</v>
      </c>
      <c r="AZ339" s="2">
        <f t="shared" si="293"/>
        <v>203</v>
      </c>
      <c r="BA339" s="10"/>
      <c r="BB339" s="13">
        <f t="shared" si="294"/>
        <v>-100</v>
      </c>
      <c r="BC339" s="10"/>
      <c r="BD339" s="14">
        <f t="shared" si="295"/>
        <v>74</v>
      </c>
      <c r="BE339" s="14">
        <f t="shared" si="300"/>
        <v>102</v>
      </c>
      <c r="BF339" s="2">
        <f t="shared" si="296"/>
        <v>176</v>
      </c>
      <c r="BG339" s="2">
        <f t="shared" si="297"/>
        <v>276</v>
      </c>
    </row>
    <row r="340" spans="1:59" x14ac:dyDescent="0.3">
      <c r="A340" s="9" t="s">
        <v>36</v>
      </c>
      <c r="B340" s="2"/>
      <c r="C340" s="99">
        <f>ROUND(Load!$L$43+'2022'!$E$348*0.485/720,0)</f>
        <v>103</v>
      </c>
      <c r="D340" s="2">
        <f t="shared" si="288"/>
        <v>103</v>
      </c>
      <c r="E340" s="9" t="s">
        <v>36</v>
      </c>
      <c r="F340" s="2">
        <f>'Hoover with 30 MW Solar'!$J$39</f>
        <v>30</v>
      </c>
      <c r="G340" s="2">
        <v>35</v>
      </c>
      <c r="H340" s="314">
        <v>39</v>
      </c>
      <c r="I340" s="77">
        <v>15</v>
      </c>
      <c r="J340" s="78"/>
      <c r="K340" s="78"/>
      <c r="L340" s="78"/>
      <c r="M340" s="78"/>
      <c r="N340" s="108"/>
      <c r="O340" s="108"/>
      <c r="P340" s="108"/>
      <c r="Q340" s="108"/>
      <c r="R340" s="108"/>
      <c r="S340" s="108">
        <v>-25</v>
      </c>
      <c r="T340" s="108"/>
      <c r="U340" s="109">
        <v>-15</v>
      </c>
      <c r="V340" s="2">
        <f t="shared" si="289"/>
        <v>79</v>
      </c>
      <c r="W340" s="10"/>
      <c r="X340" s="13">
        <f t="shared" si="290"/>
        <v>24</v>
      </c>
      <c r="Y340" s="10"/>
      <c r="Z340" s="14">
        <f>142-F340-H340</f>
        <v>73</v>
      </c>
      <c r="AA340" s="14">
        <f t="shared" si="298"/>
        <v>202</v>
      </c>
      <c r="AB340" s="2">
        <f t="shared" si="299"/>
        <v>275</v>
      </c>
      <c r="AC340" s="2">
        <f t="shared" si="291"/>
        <v>251</v>
      </c>
      <c r="AE340" s="9" t="s">
        <v>36</v>
      </c>
      <c r="AF340" s="2"/>
      <c r="AG340" s="99">
        <f>ROUND(Load!$L$43+'2022'!$E$348*0.485/720,0)</f>
        <v>103</v>
      </c>
      <c r="AH340" s="2">
        <f t="shared" si="292"/>
        <v>103</v>
      </c>
      <c r="AI340" s="9" t="s">
        <v>36</v>
      </c>
      <c r="AJ340" s="2">
        <f>'Hoover with 30 MW Solar'!$J$39</f>
        <v>30</v>
      </c>
      <c r="AK340" s="2">
        <v>35</v>
      </c>
      <c r="AL340" s="314">
        <v>39</v>
      </c>
      <c r="AM340" s="77">
        <v>15</v>
      </c>
      <c r="AN340" s="78">
        <v>50</v>
      </c>
      <c r="AO340" s="78">
        <v>50</v>
      </c>
      <c r="AP340" s="78"/>
      <c r="AQ340" s="78"/>
      <c r="AR340" s="78"/>
      <c r="AS340" s="108"/>
      <c r="AT340" s="108"/>
      <c r="AU340" s="108"/>
      <c r="AV340" s="108"/>
      <c r="AW340" s="108"/>
      <c r="AX340" s="108"/>
      <c r="AY340" s="109">
        <v>-15</v>
      </c>
      <c r="AZ340" s="2">
        <f t="shared" si="293"/>
        <v>204</v>
      </c>
      <c r="BA340" s="10"/>
      <c r="BB340" s="13">
        <f t="shared" si="294"/>
        <v>-101</v>
      </c>
      <c r="BC340" s="10"/>
      <c r="BD340" s="14">
        <f t="shared" si="295"/>
        <v>73</v>
      </c>
      <c r="BE340" s="14">
        <f t="shared" si="300"/>
        <v>102</v>
      </c>
      <c r="BF340" s="2">
        <f t="shared" si="296"/>
        <v>175</v>
      </c>
      <c r="BG340" s="2">
        <f t="shared" si="297"/>
        <v>276</v>
      </c>
    </row>
    <row r="341" spans="1:59" x14ac:dyDescent="0.3">
      <c r="A341" s="9" t="s">
        <v>37</v>
      </c>
      <c r="B341" s="2"/>
      <c r="C341" s="99">
        <f>ROUND(Load!$L$43+'2022'!$E$348*0.485/720,0)</f>
        <v>103</v>
      </c>
      <c r="D341" s="2">
        <f t="shared" si="288"/>
        <v>103</v>
      </c>
      <c r="E341" s="9" t="s">
        <v>37</v>
      </c>
      <c r="F341" s="2">
        <f>'Hoover with 30 MW Solar'!$J$39</f>
        <v>30</v>
      </c>
      <c r="G341" s="2">
        <v>35</v>
      </c>
      <c r="H341" s="2">
        <v>39</v>
      </c>
      <c r="I341" s="77">
        <v>15</v>
      </c>
      <c r="J341" s="78"/>
      <c r="K341" s="78"/>
      <c r="L341" s="78"/>
      <c r="M341" s="78"/>
      <c r="N341" s="108"/>
      <c r="O341" s="108"/>
      <c r="P341" s="108"/>
      <c r="Q341" s="108"/>
      <c r="R341" s="108"/>
      <c r="S341" s="108">
        <v>-25</v>
      </c>
      <c r="T341" s="108"/>
      <c r="U341" s="109">
        <v>-15</v>
      </c>
      <c r="V341" s="2">
        <f t="shared" si="289"/>
        <v>79</v>
      </c>
      <c r="W341" s="10"/>
      <c r="X341" s="13">
        <f t="shared" si="290"/>
        <v>24</v>
      </c>
      <c r="Y341" s="10"/>
      <c r="Z341" s="14">
        <f t="shared" si="301"/>
        <v>73</v>
      </c>
      <c r="AA341" s="14">
        <f t="shared" si="298"/>
        <v>202</v>
      </c>
      <c r="AB341" s="2">
        <f t="shared" si="299"/>
        <v>275</v>
      </c>
      <c r="AC341" s="2">
        <f t="shared" si="291"/>
        <v>251</v>
      </c>
      <c r="AE341" s="9" t="s">
        <v>37</v>
      </c>
      <c r="AF341" s="2"/>
      <c r="AG341" s="99">
        <f>ROUND(Load!$L$43+'2022'!$E$348*0.485/720,0)</f>
        <v>103</v>
      </c>
      <c r="AH341" s="2">
        <f t="shared" si="292"/>
        <v>103</v>
      </c>
      <c r="AI341" s="9" t="s">
        <v>37</v>
      </c>
      <c r="AJ341" s="2">
        <f>'Hoover with 30 MW Solar'!$J$39</f>
        <v>30</v>
      </c>
      <c r="AK341" s="2">
        <v>35</v>
      </c>
      <c r="AL341" s="314">
        <v>39</v>
      </c>
      <c r="AM341" s="77">
        <v>15</v>
      </c>
      <c r="AN341" s="78">
        <v>50</v>
      </c>
      <c r="AO341" s="78">
        <v>50</v>
      </c>
      <c r="AP341" s="78"/>
      <c r="AQ341" s="78"/>
      <c r="AR341" s="78"/>
      <c r="AS341" s="108"/>
      <c r="AT341" s="108"/>
      <c r="AU341" s="108"/>
      <c r="AV341" s="108"/>
      <c r="AW341" s="108"/>
      <c r="AX341" s="108"/>
      <c r="AY341" s="109">
        <v>-15</v>
      </c>
      <c r="AZ341" s="2">
        <f t="shared" si="293"/>
        <v>204</v>
      </c>
      <c r="BA341" s="10"/>
      <c r="BB341" s="13">
        <f t="shared" si="294"/>
        <v>-101</v>
      </c>
      <c r="BC341" s="10"/>
      <c r="BD341" s="14">
        <f t="shared" si="295"/>
        <v>73</v>
      </c>
      <c r="BE341" s="14">
        <f t="shared" si="300"/>
        <v>102</v>
      </c>
      <c r="BF341" s="2">
        <f t="shared" si="296"/>
        <v>175</v>
      </c>
      <c r="BG341" s="2">
        <f t="shared" si="297"/>
        <v>276</v>
      </c>
    </row>
    <row r="342" spans="1:59" x14ac:dyDescent="0.3">
      <c r="A342" s="9" t="s">
        <v>38</v>
      </c>
      <c r="B342" s="2"/>
      <c r="C342" s="99">
        <f>ROUND(Load!$L$43+'2022'!$E$348*0.485/720,0)</f>
        <v>103</v>
      </c>
      <c r="D342" s="2">
        <f t="shared" si="288"/>
        <v>103</v>
      </c>
      <c r="E342" s="9" t="s">
        <v>38</v>
      </c>
      <c r="F342" s="2">
        <f>'Hoover with 30 MW Solar'!$J$39</f>
        <v>30</v>
      </c>
      <c r="G342" s="2">
        <v>35</v>
      </c>
      <c r="H342" s="2">
        <v>39</v>
      </c>
      <c r="I342" s="77">
        <v>15</v>
      </c>
      <c r="J342" s="78"/>
      <c r="K342" s="78"/>
      <c r="L342" s="78"/>
      <c r="M342" s="78"/>
      <c r="N342" s="108"/>
      <c r="O342" s="108"/>
      <c r="P342" s="108"/>
      <c r="Q342" s="108"/>
      <c r="R342" s="108"/>
      <c r="S342" s="108">
        <v>-25</v>
      </c>
      <c r="T342" s="108"/>
      <c r="U342" s="109">
        <v>-15</v>
      </c>
      <c r="V342" s="2">
        <f t="shared" si="289"/>
        <v>79</v>
      </c>
      <c r="W342" s="10"/>
      <c r="X342" s="13">
        <f t="shared" si="290"/>
        <v>24</v>
      </c>
      <c r="Y342" s="10"/>
      <c r="Z342" s="14">
        <f t="shared" si="301"/>
        <v>73</v>
      </c>
      <c r="AA342" s="14">
        <f t="shared" si="298"/>
        <v>202</v>
      </c>
      <c r="AB342" s="2">
        <f t="shared" si="299"/>
        <v>275</v>
      </c>
      <c r="AC342" s="2">
        <f t="shared" si="291"/>
        <v>251</v>
      </c>
      <c r="AE342" s="9" t="s">
        <v>38</v>
      </c>
      <c r="AF342" s="2"/>
      <c r="AG342" s="99">
        <f>ROUND(Load!$L$43+'2022'!$E$348*0.485/720,0)</f>
        <v>103</v>
      </c>
      <c r="AH342" s="2">
        <f t="shared" si="292"/>
        <v>103</v>
      </c>
      <c r="AI342" s="9" t="s">
        <v>38</v>
      </c>
      <c r="AJ342" s="2">
        <f>'Hoover with 30 MW Solar'!$J$39</f>
        <v>30</v>
      </c>
      <c r="AK342" s="2">
        <v>35</v>
      </c>
      <c r="AL342" s="314">
        <v>39</v>
      </c>
      <c r="AM342" s="77">
        <v>15</v>
      </c>
      <c r="AN342" s="78">
        <v>50</v>
      </c>
      <c r="AO342" s="78">
        <v>50</v>
      </c>
      <c r="AP342" s="78"/>
      <c r="AQ342" s="78"/>
      <c r="AR342" s="78"/>
      <c r="AS342" s="108"/>
      <c r="AT342" s="108"/>
      <c r="AU342" s="108"/>
      <c r="AV342" s="108"/>
      <c r="AW342" s="108"/>
      <c r="AX342" s="108"/>
      <c r="AY342" s="109">
        <v>-15</v>
      </c>
      <c r="AZ342" s="2">
        <f t="shared" si="293"/>
        <v>204</v>
      </c>
      <c r="BA342" s="10"/>
      <c r="BB342" s="13">
        <f t="shared" si="294"/>
        <v>-101</v>
      </c>
      <c r="BC342" s="10"/>
      <c r="BD342" s="14">
        <f t="shared" si="295"/>
        <v>73</v>
      </c>
      <c r="BE342" s="14">
        <f t="shared" si="300"/>
        <v>102</v>
      </c>
      <c r="BF342" s="2">
        <f t="shared" si="296"/>
        <v>175</v>
      </c>
      <c r="BG342" s="2">
        <f t="shared" si="297"/>
        <v>276</v>
      </c>
    </row>
    <row r="343" spans="1:59" x14ac:dyDescent="0.3">
      <c r="A343" s="9" t="s">
        <v>39</v>
      </c>
      <c r="B343" s="2"/>
      <c r="C343" s="99">
        <f>ROUND(Load!$L$43+'2022'!$E$348*0.485/720,0)</f>
        <v>103</v>
      </c>
      <c r="D343" s="2">
        <f t="shared" si="288"/>
        <v>103</v>
      </c>
      <c r="E343" s="9" t="s">
        <v>39</v>
      </c>
      <c r="F343" s="2">
        <f>'Hoover with 30 MW Solar'!$J$39</f>
        <v>30</v>
      </c>
      <c r="G343" s="2">
        <v>35</v>
      </c>
      <c r="H343" s="2">
        <v>39</v>
      </c>
      <c r="I343" s="77">
        <v>15</v>
      </c>
      <c r="J343" s="78"/>
      <c r="K343" s="78"/>
      <c r="L343" s="78"/>
      <c r="M343" s="78"/>
      <c r="N343" s="108"/>
      <c r="O343" s="108"/>
      <c r="P343" s="108"/>
      <c r="Q343" s="108"/>
      <c r="R343" s="108"/>
      <c r="S343" s="108">
        <v>-25</v>
      </c>
      <c r="T343" s="108"/>
      <c r="U343" s="109">
        <v>-15</v>
      </c>
      <c r="V343" s="2">
        <f t="shared" si="289"/>
        <v>79</v>
      </c>
      <c r="W343" s="10"/>
      <c r="X343" s="13">
        <f t="shared" si="290"/>
        <v>24</v>
      </c>
      <c r="Y343" s="10"/>
      <c r="Z343" s="14">
        <f t="shared" si="301"/>
        <v>73</v>
      </c>
      <c r="AA343" s="14">
        <f t="shared" si="298"/>
        <v>202</v>
      </c>
      <c r="AB343" s="2">
        <f t="shared" si="299"/>
        <v>275</v>
      </c>
      <c r="AC343" s="2">
        <f t="shared" si="291"/>
        <v>251</v>
      </c>
      <c r="AE343" s="9" t="s">
        <v>39</v>
      </c>
      <c r="AF343" s="2"/>
      <c r="AG343" s="99">
        <f>ROUND(Load!$L$43+'2022'!$E$348*0.485/720,0)</f>
        <v>103</v>
      </c>
      <c r="AH343" s="2">
        <f t="shared" si="292"/>
        <v>103</v>
      </c>
      <c r="AI343" s="9" t="s">
        <v>39</v>
      </c>
      <c r="AJ343" s="2">
        <f>'Hoover with 30 MW Solar'!$J$39</f>
        <v>30</v>
      </c>
      <c r="AK343" s="2">
        <v>35</v>
      </c>
      <c r="AL343" s="314">
        <v>39</v>
      </c>
      <c r="AM343" s="77">
        <v>15</v>
      </c>
      <c r="AN343" s="78">
        <v>50</v>
      </c>
      <c r="AO343" s="78">
        <v>50</v>
      </c>
      <c r="AP343" s="78"/>
      <c r="AQ343" s="78"/>
      <c r="AR343" s="78"/>
      <c r="AS343" s="108"/>
      <c r="AT343" s="108"/>
      <c r="AU343" s="108"/>
      <c r="AV343" s="108"/>
      <c r="AW343" s="108"/>
      <c r="AX343" s="108"/>
      <c r="AY343" s="109">
        <v>-15</v>
      </c>
      <c r="AZ343" s="2">
        <f t="shared" si="293"/>
        <v>204</v>
      </c>
      <c r="BA343" s="10"/>
      <c r="BB343" s="13">
        <f t="shared" si="294"/>
        <v>-101</v>
      </c>
      <c r="BC343" s="10"/>
      <c r="BD343" s="14">
        <f t="shared" si="295"/>
        <v>73</v>
      </c>
      <c r="BE343" s="14">
        <f t="shared" si="300"/>
        <v>102</v>
      </c>
      <c r="BF343" s="2">
        <f t="shared" si="296"/>
        <v>175</v>
      </c>
      <c r="BG343" s="2">
        <f t="shared" si="297"/>
        <v>276</v>
      </c>
    </row>
    <row r="344" spans="1:59" x14ac:dyDescent="0.3">
      <c r="A344" s="9" t="s">
        <v>40</v>
      </c>
      <c r="B344" s="2"/>
      <c r="C344" s="99">
        <f>ROUND(Load!$L$43+'2022'!$E$348*0.485/720,0)</f>
        <v>103</v>
      </c>
      <c r="D344" s="2">
        <f t="shared" si="288"/>
        <v>103</v>
      </c>
      <c r="E344" s="9" t="s">
        <v>40</v>
      </c>
      <c r="F344" s="2">
        <f>'Hoover with 30 MW Solar'!$J$39</f>
        <v>30</v>
      </c>
      <c r="G344" s="2">
        <v>35</v>
      </c>
      <c r="H344" s="2">
        <v>38</v>
      </c>
      <c r="I344" s="77">
        <v>15</v>
      </c>
      <c r="J344" s="78"/>
      <c r="K344" s="78"/>
      <c r="L344" s="78"/>
      <c r="M344" s="78"/>
      <c r="N344" s="108"/>
      <c r="O344" s="108"/>
      <c r="P344" s="108"/>
      <c r="Q344" s="108"/>
      <c r="R344" s="108"/>
      <c r="S344" s="108">
        <v>-25</v>
      </c>
      <c r="T344" s="108"/>
      <c r="U344" s="109">
        <v>-15</v>
      </c>
      <c r="V344" s="2">
        <f t="shared" si="289"/>
        <v>78</v>
      </c>
      <c r="W344" s="10"/>
      <c r="X344" s="13">
        <f t="shared" si="290"/>
        <v>25</v>
      </c>
      <c r="Y344" s="10"/>
      <c r="Z344" s="14">
        <f t="shared" si="301"/>
        <v>74</v>
      </c>
      <c r="AA344" s="14">
        <f t="shared" si="298"/>
        <v>202</v>
      </c>
      <c r="AB344" s="2">
        <f t="shared" si="299"/>
        <v>276</v>
      </c>
      <c r="AC344" s="2">
        <f t="shared" si="291"/>
        <v>251</v>
      </c>
      <c r="AE344" s="9" t="s">
        <v>40</v>
      </c>
      <c r="AF344" s="2"/>
      <c r="AG344" s="99">
        <f>ROUND(Load!$L$43+'2022'!$E$348*0.485/720,0)</f>
        <v>103</v>
      </c>
      <c r="AH344" s="2">
        <f t="shared" si="292"/>
        <v>103</v>
      </c>
      <c r="AI344" s="9" t="s">
        <v>40</v>
      </c>
      <c r="AJ344" s="2">
        <f>'Hoover with 30 MW Solar'!$J$39</f>
        <v>30</v>
      </c>
      <c r="AK344" s="2">
        <v>35</v>
      </c>
      <c r="AL344" s="314">
        <v>38</v>
      </c>
      <c r="AM344" s="77">
        <v>15</v>
      </c>
      <c r="AN344" s="78">
        <v>50</v>
      </c>
      <c r="AO344" s="78">
        <v>50</v>
      </c>
      <c r="AP344" s="78"/>
      <c r="AQ344" s="78"/>
      <c r="AR344" s="78"/>
      <c r="AS344" s="108"/>
      <c r="AT344" s="108"/>
      <c r="AU344" s="108"/>
      <c r="AV344" s="108"/>
      <c r="AW344" s="108"/>
      <c r="AX344" s="108"/>
      <c r="AY344" s="109">
        <v>-15</v>
      </c>
      <c r="AZ344" s="2">
        <f t="shared" si="293"/>
        <v>203</v>
      </c>
      <c r="BA344" s="10"/>
      <c r="BB344" s="13">
        <f t="shared" si="294"/>
        <v>-100</v>
      </c>
      <c r="BC344" s="10"/>
      <c r="BD344" s="14">
        <f t="shared" si="295"/>
        <v>74</v>
      </c>
      <c r="BE344" s="14">
        <f t="shared" si="300"/>
        <v>102</v>
      </c>
      <c r="BF344" s="2">
        <f t="shared" si="296"/>
        <v>176</v>
      </c>
      <c r="BG344" s="2">
        <f t="shared" si="297"/>
        <v>276</v>
      </c>
    </row>
    <row r="345" spans="1:59" x14ac:dyDescent="0.3">
      <c r="A345" s="9" t="s">
        <v>41</v>
      </c>
      <c r="B345" s="2">
        <v>241</v>
      </c>
      <c r="C345" s="99">
        <f>ROUND(Load!$L$43+'2022'!$E$348*0.485/720,0)</f>
        <v>103</v>
      </c>
      <c r="D345" s="2">
        <f t="shared" si="288"/>
        <v>344</v>
      </c>
      <c r="E345" s="9" t="s">
        <v>41</v>
      </c>
      <c r="F345" s="2"/>
      <c r="G345" s="2">
        <v>35</v>
      </c>
      <c r="H345" s="2"/>
      <c r="I345" s="77"/>
      <c r="J345" s="78">
        <v>50</v>
      </c>
      <c r="K345" s="78">
        <v>50</v>
      </c>
      <c r="L345" s="78"/>
      <c r="M345" s="78"/>
      <c r="N345" s="108"/>
      <c r="O345" s="108"/>
      <c r="P345" s="108"/>
      <c r="Q345" s="108"/>
      <c r="R345" s="108"/>
      <c r="S345" s="108"/>
      <c r="T345" s="108"/>
      <c r="U345" s="109"/>
      <c r="V345" s="2">
        <f t="shared" si="289"/>
        <v>135</v>
      </c>
      <c r="W345" s="10"/>
      <c r="X345" s="11">
        <f t="shared" si="290"/>
        <v>209</v>
      </c>
      <c r="Y345" s="10"/>
      <c r="Z345" s="12">
        <f t="shared" si="301"/>
        <v>142</v>
      </c>
      <c r="AA345" s="12">
        <f t="shared" si="298"/>
        <v>117</v>
      </c>
      <c r="AB345" s="2">
        <f t="shared" si="299"/>
        <v>259</v>
      </c>
      <c r="AC345" s="2">
        <f t="shared" si="291"/>
        <v>50</v>
      </c>
      <c r="AE345" s="9" t="s">
        <v>41</v>
      </c>
      <c r="AF345" s="2">
        <v>241</v>
      </c>
      <c r="AG345" s="99">
        <f>ROUND(Load!$L$43+'2022'!$E$348*0.485/720,0)</f>
        <v>103</v>
      </c>
      <c r="AH345" s="2">
        <f t="shared" si="292"/>
        <v>344</v>
      </c>
      <c r="AI345" s="9" t="s">
        <v>41</v>
      </c>
      <c r="AJ345" s="2"/>
      <c r="AK345" s="2">
        <v>35</v>
      </c>
      <c r="AL345" s="314"/>
      <c r="AM345" s="77"/>
      <c r="AN345" s="78">
        <v>50</v>
      </c>
      <c r="AO345" s="78">
        <v>50</v>
      </c>
      <c r="AP345" s="78"/>
      <c r="AQ345" s="78"/>
      <c r="AR345" s="78"/>
      <c r="AS345" s="108"/>
      <c r="AT345" s="108"/>
      <c r="AU345" s="108"/>
      <c r="AV345" s="108"/>
      <c r="AW345" s="108"/>
      <c r="AX345" s="108"/>
      <c r="AY345" s="109"/>
      <c r="AZ345" s="2">
        <f t="shared" si="293"/>
        <v>135</v>
      </c>
      <c r="BA345" s="10"/>
      <c r="BB345" s="11">
        <f t="shared" si="294"/>
        <v>209</v>
      </c>
      <c r="BC345" s="10"/>
      <c r="BD345" s="12">
        <f t="shared" si="295"/>
        <v>142</v>
      </c>
      <c r="BE345" s="12">
        <f t="shared" si="300"/>
        <v>117</v>
      </c>
      <c r="BF345" s="2">
        <f t="shared" si="296"/>
        <v>259</v>
      </c>
      <c r="BG345" s="2">
        <f t="shared" si="297"/>
        <v>50</v>
      </c>
    </row>
    <row r="346" spans="1:59" ht="15" thickBot="1" x14ac:dyDescent="0.35">
      <c r="A346" s="15" t="s">
        <v>42</v>
      </c>
      <c r="B346" s="16">
        <v>241</v>
      </c>
      <c r="C346" s="123">
        <f>ROUND(Load!$L$43+'2022'!$E$348*0.485/720,0)</f>
        <v>103</v>
      </c>
      <c r="D346" s="16">
        <f t="shared" si="288"/>
        <v>344</v>
      </c>
      <c r="E346" s="15" t="s">
        <v>42</v>
      </c>
      <c r="F346" s="16"/>
      <c r="G346" s="16">
        <v>35</v>
      </c>
      <c r="H346" s="16"/>
      <c r="I346" s="75"/>
      <c r="J346" s="76">
        <v>50</v>
      </c>
      <c r="K346" s="76">
        <v>50</v>
      </c>
      <c r="L346" s="76"/>
      <c r="M346" s="76"/>
      <c r="N346" s="106"/>
      <c r="O346" s="106"/>
      <c r="P346" s="106"/>
      <c r="Q346" s="106"/>
      <c r="R346" s="106"/>
      <c r="S346" s="106"/>
      <c r="T346" s="106"/>
      <c r="U346" s="107"/>
      <c r="V346" s="16">
        <f t="shared" si="289"/>
        <v>135</v>
      </c>
      <c r="W346" s="10"/>
      <c r="X346" s="17">
        <f t="shared" si="290"/>
        <v>209</v>
      </c>
      <c r="Y346" s="10"/>
      <c r="Z346" s="18">
        <f t="shared" si="301"/>
        <v>142</v>
      </c>
      <c r="AA346" s="18">
        <f t="shared" si="298"/>
        <v>117</v>
      </c>
      <c r="AB346" s="16">
        <f t="shared" si="299"/>
        <v>259</v>
      </c>
      <c r="AC346" s="16">
        <f t="shared" si="291"/>
        <v>50</v>
      </c>
      <c r="AE346" s="15" t="s">
        <v>42</v>
      </c>
      <c r="AF346" s="16">
        <v>241</v>
      </c>
      <c r="AG346" s="123">
        <f>ROUND(Load!$L$43+'2022'!$E$348*0.485/720,0)</f>
        <v>103</v>
      </c>
      <c r="AH346" s="16">
        <f t="shared" si="292"/>
        <v>344</v>
      </c>
      <c r="AI346" s="15" t="s">
        <v>42</v>
      </c>
      <c r="AJ346" s="16"/>
      <c r="AK346" s="16">
        <v>35</v>
      </c>
      <c r="AL346" s="16"/>
      <c r="AM346" s="75"/>
      <c r="AN346" s="76">
        <v>50</v>
      </c>
      <c r="AO346" s="76">
        <v>50</v>
      </c>
      <c r="AP346" s="76"/>
      <c r="AQ346" s="76"/>
      <c r="AR346" s="76"/>
      <c r="AS346" s="106"/>
      <c r="AT346" s="106"/>
      <c r="AU346" s="106"/>
      <c r="AV346" s="106"/>
      <c r="AW346" s="106"/>
      <c r="AX346" s="106"/>
      <c r="AY346" s="107"/>
      <c r="AZ346" s="16">
        <f t="shared" si="293"/>
        <v>135</v>
      </c>
      <c r="BA346" s="10"/>
      <c r="BB346" s="17">
        <f t="shared" si="294"/>
        <v>209</v>
      </c>
      <c r="BC346" s="10"/>
      <c r="BD346" s="18">
        <f t="shared" si="295"/>
        <v>142</v>
      </c>
      <c r="BE346" s="18">
        <f t="shared" si="300"/>
        <v>117</v>
      </c>
      <c r="BF346" s="16">
        <f t="shared" si="296"/>
        <v>259</v>
      </c>
      <c r="BG346" s="16">
        <f t="shared" si="297"/>
        <v>50</v>
      </c>
    </row>
    <row r="347" spans="1:59" ht="15" thickTop="1" x14ac:dyDescent="0.3">
      <c r="A347" s="2" t="s">
        <v>43</v>
      </c>
      <c r="B347" s="2">
        <f>SUM(B323:B346)</f>
        <v>2320</v>
      </c>
      <c r="C347" s="2">
        <f t="shared" ref="C347:D347" si="302">SUM(C323:C346)</f>
        <v>2472</v>
      </c>
      <c r="D347" s="2">
        <f t="shared" si="302"/>
        <v>4792</v>
      </c>
      <c r="E347" s="327" t="s">
        <v>406</v>
      </c>
      <c r="F347" s="2">
        <f t="shared" ref="F347:H347" si="303">SUM(F323:F346)</f>
        <v>480</v>
      </c>
      <c r="G347" s="2">
        <f t="shared" si="303"/>
        <v>840</v>
      </c>
      <c r="H347" s="2">
        <f t="shared" si="303"/>
        <v>308</v>
      </c>
      <c r="I347" s="2">
        <f>SUM(I323:I346)</f>
        <v>240</v>
      </c>
      <c r="J347" s="2">
        <f>SUM(J323:J346)</f>
        <v>400</v>
      </c>
      <c r="K347" s="2">
        <f t="shared" ref="K347:U347" si="304">SUM(K323:K346)</f>
        <v>400</v>
      </c>
      <c r="L347" s="2">
        <f t="shared" si="304"/>
        <v>0</v>
      </c>
      <c r="M347" s="2">
        <f t="shared" si="304"/>
        <v>0</v>
      </c>
      <c r="N347" s="2">
        <f t="shared" si="304"/>
        <v>0</v>
      </c>
      <c r="O347" s="2">
        <f t="shared" ref="O347:P347" si="305">SUM(O323:O346)</f>
        <v>0</v>
      </c>
      <c r="P347" s="2">
        <f t="shared" si="305"/>
        <v>0</v>
      </c>
      <c r="Q347" s="2">
        <f t="shared" ref="Q347" si="306">SUM(Q323:Q346)</f>
        <v>0</v>
      </c>
      <c r="R347" s="2">
        <f t="shared" ref="R347:S347" si="307">SUM(R323:R346)</f>
        <v>0</v>
      </c>
      <c r="S347" s="2">
        <f t="shared" si="307"/>
        <v>-200</v>
      </c>
      <c r="T347" s="2">
        <f t="shared" ref="T347" si="308">SUM(T323:T346)</f>
        <v>0</v>
      </c>
      <c r="U347" s="2">
        <f t="shared" si="304"/>
        <v>-240</v>
      </c>
      <c r="V347" s="2">
        <f>SUM(V323:V346)</f>
        <v>2228</v>
      </c>
      <c r="W347" s="10"/>
      <c r="X347" s="2">
        <f t="shared" ref="X347" si="309">SUM(X323:X346)</f>
        <v>2564</v>
      </c>
      <c r="Y347" s="10"/>
      <c r="Z347" s="19">
        <f>SUM(Z323:Z346)</f>
        <v>2620</v>
      </c>
      <c r="AA347" s="19">
        <f>SUM(AA323:AA346)</f>
        <v>4168</v>
      </c>
      <c r="AB347" s="19">
        <f t="shared" ref="AB347:AC347" si="310">SUM(AB323:AB346)</f>
        <v>6788</v>
      </c>
      <c r="AC347" s="19">
        <f t="shared" si="310"/>
        <v>4224</v>
      </c>
      <c r="AE347" s="2" t="s">
        <v>43</v>
      </c>
      <c r="AF347" s="2">
        <f>SUM(AF323:AF346)</f>
        <v>3856</v>
      </c>
      <c r="AG347" s="2">
        <f t="shared" ref="AG347:AH347" si="311">SUM(AG323:AG346)</f>
        <v>2472</v>
      </c>
      <c r="AH347" s="2">
        <f t="shared" si="311"/>
        <v>6328</v>
      </c>
      <c r="AI347" s="92"/>
      <c r="AJ347" s="2">
        <f t="shared" ref="AJ347:AL347" si="312">SUM(AJ323:AJ346)</f>
        <v>480</v>
      </c>
      <c r="AK347" s="2">
        <f t="shared" si="312"/>
        <v>840</v>
      </c>
      <c r="AL347" s="2">
        <f t="shared" si="312"/>
        <v>308</v>
      </c>
      <c r="AM347" s="2">
        <f>SUM(AM323:AM346)</f>
        <v>240</v>
      </c>
      <c r="AN347" s="2">
        <f t="shared" ref="AN347:AO347" si="313">SUM(AN323:AN346)</f>
        <v>1200</v>
      </c>
      <c r="AO347" s="2">
        <f t="shared" si="313"/>
        <v>1200</v>
      </c>
      <c r="AP347" s="2">
        <f>SUM(AP323:AP346)</f>
        <v>0</v>
      </c>
      <c r="AQ347" s="2">
        <f t="shared" ref="AQ347:AY347" si="314">SUM(AQ323:AQ346)</f>
        <v>0</v>
      </c>
      <c r="AR347" s="2">
        <f t="shared" si="314"/>
        <v>0</v>
      </c>
      <c r="AS347" s="2">
        <f t="shared" si="314"/>
        <v>0</v>
      </c>
      <c r="AT347" s="2">
        <f t="shared" si="314"/>
        <v>0</v>
      </c>
      <c r="AU347" s="2">
        <f t="shared" si="314"/>
        <v>0</v>
      </c>
      <c r="AV347" s="2">
        <f t="shared" si="314"/>
        <v>0</v>
      </c>
      <c r="AW347" s="2">
        <f t="shared" si="314"/>
        <v>0</v>
      </c>
      <c r="AX347" s="2">
        <f t="shared" si="314"/>
        <v>0</v>
      </c>
      <c r="AY347" s="2">
        <f t="shared" si="314"/>
        <v>-240</v>
      </c>
      <c r="AZ347" s="2">
        <f>SUM(AZ323:AZ346)</f>
        <v>4028</v>
      </c>
      <c r="BA347" s="10"/>
      <c r="BB347" s="19">
        <f>SUM(BB323:BB346)</f>
        <v>2300</v>
      </c>
      <c r="BC347" s="10"/>
      <c r="BD347" s="19">
        <f>SUM(BD323:BD346)</f>
        <v>2620</v>
      </c>
      <c r="BE347" s="19">
        <f>SUM(BE323:BE346)</f>
        <v>2568</v>
      </c>
      <c r="BF347" s="19">
        <f>SUM(BF323:BF346)</f>
        <v>5188</v>
      </c>
      <c r="BG347" s="19">
        <f>SUM(BG323:BG346)</f>
        <v>2888</v>
      </c>
    </row>
    <row r="348" spans="1:59" x14ac:dyDescent="0.3">
      <c r="A348" s="2" t="s">
        <v>44</v>
      </c>
      <c r="B348" s="2">
        <f>B347*(30-$AN320)</f>
        <v>58000</v>
      </c>
      <c r="C348" s="2">
        <f t="shared" ref="C348:D348" si="315">C347*(30-$AN320)</f>
        <v>61800</v>
      </c>
      <c r="D348" s="2">
        <f t="shared" si="315"/>
        <v>119800</v>
      </c>
      <c r="E348" s="328">
        <f>B348+AF348</f>
        <v>77280</v>
      </c>
      <c r="H348" s="124">
        <f>'Hoover with 30 MW Solar'!J44</f>
        <v>307.5761815333334</v>
      </c>
      <c r="I348" s="479" t="s">
        <v>470</v>
      </c>
      <c r="S348" s="216"/>
      <c r="V348" s="2">
        <f>V347*30</f>
        <v>66840</v>
      </c>
      <c r="W348" s="35" t="s">
        <v>153</v>
      </c>
      <c r="X348" s="87">
        <f>-SUMIF(X323:X346,"&lt;0")</f>
        <v>0</v>
      </c>
      <c r="Y348" s="92">
        <f>X348*(30-AN320)</f>
        <v>0</v>
      </c>
      <c r="Z348" s="92" t="s">
        <v>217</v>
      </c>
      <c r="AE348" s="2" t="s">
        <v>44</v>
      </c>
      <c r="AF348" s="2">
        <f>AF347*$AN320</f>
        <v>19280</v>
      </c>
      <c r="AG348" s="2">
        <f t="shared" ref="AG348:AH348" si="316">AG347*$AN320</f>
        <v>12360</v>
      </c>
      <c r="AH348" s="2">
        <f t="shared" si="316"/>
        <v>31640</v>
      </c>
      <c r="AI348" s="92"/>
      <c r="AJ348" s="92"/>
      <c r="AK348" s="92"/>
      <c r="AL348" s="124">
        <f>H348</f>
        <v>307.5761815333334</v>
      </c>
      <c r="AM348" s="2"/>
      <c r="AN348" s="2"/>
      <c r="AO348" s="2"/>
      <c r="AP348" s="2"/>
      <c r="AQ348" s="92"/>
      <c r="AR348" s="92"/>
      <c r="AS348" s="92"/>
      <c r="AT348" s="92"/>
      <c r="AU348" s="92"/>
      <c r="AV348" s="92"/>
      <c r="AW348" s="92"/>
      <c r="AX348" s="92"/>
      <c r="AY348" s="92"/>
      <c r="AZ348" s="2"/>
      <c r="BA348" s="35" t="s">
        <v>216</v>
      </c>
      <c r="BB348" s="87">
        <f>-SUMIF(BB323:BB346,"&lt;0")</f>
        <v>804</v>
      </c>
      <c r="BC348" s="92">
        <f>BB348*AN320</f>
        <v>4020</v>
      </c>
      <c r="BD348" s="92" t="s">
        <v>217</v>
      </c>
      <c r="BE348" s="92"/>
      <c r="BF348" s="92"/>
      <c r="BG348" s="92"/>
    </row>
    <row r="349" spans="1:59" x14ac:dyDescent="0.3">
      <c r="A349" s="2" t="s">
        <v>45</v>
      </c>
      <c r="B349" s="20">
        <f>ROUND(B347/48.35,0)</f>
        <v>48</v>
      </c>
      <c r="C349" s="294">
        <f>((B349*(30-AN320)+AF349*AN320)/30)</f>
        <v>53.333333333333336</v>
      </c>
      <c r="D349" s="294">
        <f>C349-Load!L35</f>
        <v>0.29710144927536675</v>
      </c>
      <c r="F349" s="21">
        <v>24.99</v>
      </c>
      <c r="G349" s="62">
        <f>D493</f>
        <v>48.602699999999999</v>
      </c>
      <c r="H349" s="98">
        <f>$F$479</f>
        <v>43.87</v>
      </c>
      <c r="I349" s="21">
        <v>61.49</v>
      </c>
      <c r="J349" s="21">
        <v>30.9</v>
      </c>
      <c r="K349" s="21">
        <v>30.93</v>
      </c>
      <c r="L349" s="21"/>
      <c r="M349" s="21"/>
      <c r="N349" s="21"/>
      <c r="O349" s="21"/>
      <c r="P349" s="21"/>
      <c r="Q349" s="21"/>
      <c r="R349" s="21"/>
      <c r="S349" s="21">
        <v>310</v>
      </c>
      <c r="T349" s="21"/>
      <c r="U349" s="21"/>
      <c r="X349" s="11">
        <f>SUM(X345:X346,X323:X328)</f>
        <v>1672</v>
      </c>
      <c r="Y349" s="92">
        <f>Y348+BC348</f>
        <v>4020</v>
      </c>
      <c r="Z349" s="92" t="s">
        <v>236</v>
      </c>
      <c r="AA349" s="92"/>
      <c r="AE349" s="2" t="s">
        <v>45</v>
      </c>
      <c r="AF349" s="20">
        <f>ROUND(AF347/48.35,0)</f>
        <v>80</v>
      </c>
      <c r="AG349" s="92"/>
      <c r="AH349" s="92"/>
      <c r="AI349" s="92"/>
      <c r="AJ349" s="21"/>
      <c r="AK349" s="21"/>
      <c r="AL349" s="21"/>
      <c r="AM349" s="21">
        <v>61.49</v>
      </c>
      <c r="AN349" s="21">
        <v>30.9</v>
      </c>
      <c r="AO349" s="21">
        <v>30.93</v>
      </c>
      <c r="AP349" s="21"/>
      <c r="AQ349" s="21"/>
      <c r="AR349" s="313"/>
      <c r="AS349" s="313"/>
      <c r="AT349" s="313"/>
      <c r="AU349" s="313"/>
      <c r="AV349" s="313"/>
      <c r="AW349" s="313"/>
      <c r="AX349" s="313"/>
      <c r="AY349" s="21">
        <v>61.49</v>
      </c>
      <c r="AZ349" s="92"/>
      <c r="BA349" s="92"/>
      <c r="BB349" s="11">
        <f>SUM(BB345:BB346,BB323:BB328)</f>
        <v>1672</v>
      </c>
      <c r="BC349" s="92"/>
      <c r="BD349" s="92"/>
      <c r="BE349" s="92"/>
      <c r="BF349" s="92"/>
      <c r="BG349" s="92"/>
    </row>
    <row r="350" spans="1:59" x14ac:dyDescent="0.3">
      <c r="A350" s="2" t="s">
        <v>62</v>
      </c>
      <c r="B350" s="2">
        <f>SUM(B329:B344)</f>
        <v>392</v>
      </c>
      <c r="C350" s="2">
        <f>SUM(C329:C344)</f>
        <v>1648</v>
      </c>
      <c r="F350" s="40">
        <f>'Hoover with 30 MW Solar'!J30</f>
        <v>7169.2854460000008</v>
      </c>
      <c r="G350" s="40">
        <f>G347*30</f>
        <v>25200</v>
      </c>
      <c r="H350" s="40">
        <f>'Hoover with 30 MW Solar'!J31</f>
        <v>9258</v>
      </c>
      <c r="I350" s="2">
        <f>I347*(30-$AN320)</f>
        <v>6000</v>
      </c>
      <c r="J350" s="2">
        <f t="shared" ref="J350:U350" si="317">J347*(30-$AN320)</f>
        <v>10000</v>
      </c>
      <c r="K350" s="2">
        <f t="shared" si="317"/>
        <v>10000</v>
      </c>
      <c r="L350" s="2">
        <f t="shared" si="317"/>
        <v>0</v>
      </c>
      <c r="M350" s="2">
        <f t="shared" ref="M350" si="318">M347*(30-$AN320)</f>
        <v>0</v>
      </c>
      <c r="N350" s="2">
        <f t="shared" si="317"/>
        <v>0</v>
      </c>
      <c r="O350" s="2">
        <f t="shared" si="317"/>
        <v>0</v>
      </c>
      <c r="P350" s="2">
        <f t="shared" si="317"/>
        <v>0</v>
      </c>
      <c r="Q350" s="2">
        <f t="shared" si="317"/>
        <v>0</v>
      </c>
      <c r="R350" s="2">
        <f t="shared" si="317"/>
        <v>0</v>
      </c>
      <c r="S350" s="2">
        <f t="shared" ref="S350" si="319">S347*(30-$AN320)</f>
        <v>-5000</v>
      </c>
      <c r="T350" s="2">
        <f t="shared" si="317"/>
        <v>0</v>
      </c>
      <c r="U350" s="2">
        <f t="shared" si="317"/>
        <v>-6000</v>
      </c>
      <c r="X350" s="13">
        <f>SUM(X329:X344)</f>
        <v>892</v>
      </c>
      <c r="Y350" s="313">
        <f>-SUMIF(X337:X344,"&lt;0")*(30-AN320)</f>
        <v>0</v>
      </c>
      <c r="Z350" s="313" t="s">
        <v>411</v>
      </c>
      <c r="AA350" s="313"/>
      <c r="AE350" s="2" t="s">
        <v>62</v>
      </c>
      <c r="AF350" s="2">
        <f>SUM(AF329:AF344)</f>
        <v>1928</v>
      </c>
      <c r="AG350" s="2">
        <f>SUM(AG329:AG344)</f>
        <v>1648</v>
      </c>
      <c r="AH350" s="92"/>
      <c r="AI350" s="92"/>
      <c r="AJ350" s="22"/>
      <c r="AK350" s="22"/>
      <c r="AL350" s="22"/>
      <c r="AM350" s="22">
        <f>AM347*$AN320</f>
        <v>1200</v>
      </c>
      <c r="AN350" s="22">
        <f t="shared" ref="AN350:AY350" si="320">AN347*$AN320</f>
        <v>6000</v>
      </c>
      <c r="AO350" s="22">
        <f t="shared" si="320"/>
        <v>6000</v>
      </c>
      <c r="AP350" s="22">
        <f t="shared" si="320"/>
        <v>0</v>
      </c>
      <c r="AQ350" s="22">
        <f t="shared" si="320"/>
        <v>0</v>
      </c>
      <c r="AR350" s="22">
        <f t="shared" si="320"/>
        <v>0</v>
      </c>
      <c r="AS350" s="22">
        <f t="shared" si="320"/>
        <v>0</v>
      </c>
      <c r="AT350" s="22">
        <f t="shared" si="320"/>
        <v>0</v>
      </c>
      <c r="AU350" s="22">
        <f t="shared" si="320"/>
        <v>0</v>
      </c>
      <c r="AV350" s="22">
        <f t="shared" si="320"/>
        <v>0</v>
      </c>
      <c r="AW350" s="22">
        <f t="shared" si="320"/>
        <v>0</v>
      </c>
      <c r="AX350" s="22">
        <f t="shared" si="320"/>
        <v>0</v>
      </c>
      <c r="AY350" s="22">
        <f t="shared" si="320"/>
        <v>-1200</v>
      </c>
      <c r="AZ350" s="92"/>
      <c r="BA350" s="92"/>
      <c r="BB350" s="13">
        <f>SUM(BB329:BB344)</f>
        <v>628</v>
      </c>
      <c r="BC350" s="92"/>
      <c r="BD350" s="92"/>
      <c r="BE350" s="92"/>
      <c r="BF350" s="92"/>
      <c r="BG350" s="92"/>
    </row>
    <row r="351" spans="1:59" x14ac:dyDescent="0.3">
      <c r="A351" s="2" t="s">
        <v>63</v>
      </c>
      <c r="B351" s="2">
        <f>SUM(B345:B346,B323:B328)</f>
        <v>1928</v>
      </c>
      <c r="C351" s="2">
        <f>SUM(C345:C346,C323:C328)</f>
        <v>824</v>
      </c>
      <c r="D351" s="24"/>
      <c r="E351" s="24"/>
      <c r="F351" s="26">
        <f t="shared" ref="F351" si="321">F350*F349</f>
        <v>179160.44329554</v>
      </c>
      <c r="G351" s="26">
        <f t="shared" ref="G351" si="322">G350*G349</f>
        <v>1224788.04</v>
      </c>
      <c r="H351" s="26">
        <f t="shared" ref="H351" si="323">H350*H349</f>
        <v>406148.45999999996</v>
      </c>
      <c r="I351" s="26">
        <f t="shared" ref="I351:U351" si="324">I350*I349</f>
        <v>368940</v>
      </c>
      <c r="J351" s="26">
        <f t="shared" si="324"/>
        <v>309000</v>
      </c>
      <c r="K351" s="26">
        <f t="shared" si="324"/>
        <v>309300</v>
      </c>
      <c r="L351" s="26">
        <f t="shared" si="324"/>
        <v>0</v>
      </c>
      <c r="M351" s="26">
        <f t="shared" ref="M351" si="325">M350*M349</f>
        <v>0</v>
      </c>
      <c r="N351" s="26">
        <f t="shared" si="324"/>
        <v>0</v>
      </c>
      <c r="O351" s="26">
        <f t="shared" si="324"/>
        <v>0</v>
      </c>
      <c r="P351" s="26">
        <f t="shared" si="324"/>
        <v>0</v>
      </c>
      <c r="Q351" s="26">
        <f t="shared" si="324"/>
        <v>0</v>
      </c>
      <c r="R351" s="26">
        <f t="shared" si="324"/>
        <v>0</v>
      </c>
      <c r="S351" s="26">
        <f t="shared" ref="S351" si="326">S350*S349</f>
        <v>-1550000</v>
      </c>
      <c r="T351" s="26">
        <f t="shared" si="324"/>
        <v>0</v>
      </c>
      <c r="U351" s="26">
        <f t="shared" si="324"/>
        <v>0</v>
      </c>
      <c r="V351" s="24"/>
      <c r="W351" s="24"/>
      <c r="X351" s="24"/>
      <c r="Y351" s="313">
        <f>-SUMIF(BB337:BB344,"&lt;0")*AN320+Y350</f>
        <v>4020</v>
      </c>
      <c r="Z351" s="313" t="s">
        <v>412</v>
      </c>
      <c r="AA351" s="24"/>
      <c r="AB351" s="24"/>
      <c r="AC351" s="24"/>
      <c r="AE351" s="2" t="s">
        <v>63</v>
      </c>
      <c r="AF351" s="2">
        <f>SUM(AF345:AF346,AF323:AF328)</f>
        <v>1928</v>
      </c>
      <c r="AG351" s="2">
        <f>SUM(AG345:AG346,AG323:AG328)</f>
        <v>824</v>
      </c>
      <c r="AH351" s="24"/>
      <c r="AI351" s="24"/>
      <c r="AJ351" s="25"/>
      <c r="AK351" s="25"/>
      <c r="AL351" s="25"/>
      <c r="AM351" s="25">
        <f>AM350*AM349</f>
        <v>73788</v>
      </c>
      <c r="AN351" s="25">
        <f t="shared" ref="AN351:AY351" si="327">AN350*AN349</f>
        <v>185400</v>
      </c>
      <c r="AO351" s="25">
        <f t="shared" si="327"/>
        <v>185580</v>
      </c>
      <c r="AP351" s="25">
        <f t="shared" si="327"/>
        <v>0</v>
      </c>
      <c r="AQ351" s="25">
        <f t="shared" si="327"/>
        <v>0</v>
      </c>
      <c r="AR351" s="25">
        <f t="shared" si="327"/>
        <v>0</v>
      </c>
      <c r="AS351" s="25">
        <f t="shared" si="327"/>
        <v>0</v>
      </c>
      <c r="AT351" s="25">
        <f t="shared" si="327"/>
        <v>0</v>
      </c>
      <c r="AU351" s="25">
        <f t="shared" si="327"/>
        <v>0</v>
      </c>
      <c r="AV351" s="25">
        <f t="shared" si="327"/>
        <v>0</v>
      </c>
      <c r="AW351" s="25">
        <f t="shared" si="327"/>
        <v>0</v>
      </c>
      <c r="AX351" s="25">
        <f t="shared" si="327"/>
        <v>0</v>
      </c>
      <c r="AY351" s="25">
        <f t="shared" si="327"/>
        <v>-73788</v>
      </c>
      <c r="AZ351" s="24"/>
      <c r="BA351" s="24"/>
      <c r="BB351" s="24"/>
      <c r="BC351" s="24"/>
      <c r="BD351" s="24"/>
      <c r="BE351" s="24"/>
      <c r="BF351" s="24"/>
      <c r="BG351" s="24"/>
    </row>
    <row r="352" spans="1:59" x14ac:dyDescent="0.3">
      <c r="A352" s="23"/>
      <c r="B352" s="23"/>
      <c r="C352" s="35" t="s">
        <v>221</v>
      </c>
      <c r="D352" s="117">
        <f>D348+AH348</f>
        <v>151440</v>
      </c>
      <c r="E352" s="23"/>
      <c r="F352" s="24"/>
      <c r="G352" s="24"/>
      <c r="H352" s="24"/>
      <c r="I352" s="116" t="s">
        <v>222</v>
      </c>
      <c r="J352" s="25">
        <f>SUM(F351:T351)+SUM(AM351:AX351)</f>
        <v>1692104.9432955403</v>
      </c>
      <c r="K352" s="23"/>
      <c r="L352" s="92"/>
      <c r="M352" s="92"/>
      <c r="W352" s="23"/>
      <c r="X352" s="11">
        <f>X349*(30-AN320)</f>
        <v>41800</v>
      </c>
      <c r="Y352" s="23"/>
      <c r="Z352" s="23"/>
      <c r="AA352" s="23"/>
      <c r="AB352" s="23"/>
      <c r="AC352" s="23"/>
      <c r="AE352" s="23"/>
      <c r="AF352" s="23"/>
      <c r="AG352" s="23"/>
      <c r="AH352" s="23"/>
      <c r="AI352" s="23"/>
      <c r="AJ352" s="23"/>
      <c r="AK352" s="23"/>
      <c r="AL352" s="23"/>
      <c r="AM352" s="23"/>
      <c r="AN352" s="25"/>
      <c r="AO352" s="23"/>
      <c r="AP352" s="92"/>
      <c r="AQ352" s="92"/>
      <c r="AR352" s="92"/>
      <c r="AS352" s="92"/>
      <c r="AT352" s="92"/>
      <c r="AU352" s="92"/>
      <c r="AV352" s="92"/>
      <c r="AW352" s="92"/>
      <c r="AX352" s="92"/>
      <c r="AY352" s="92"/>
      <c r="AZ352" s="92"/>
      <c r="BA352" s="23"/>
      <c r="BB352" s="11">
        <f>BB349*AN320</f>
        <v>8360</v>
      </c>
      <c r="BC352" s="23"/>
      <c r="BD352" s="23"/>
      <c r="BE352" s="23"/>
      <c r="BF352" s="23"/>
      <c r="BG352" s="23"/>
    </row>
    <row r="353" spans="1:61" x14ac:dyDescent="0.3">
      <c r="C353" s="35" t="s">
        <v>131</v>
      </c>
      <c r="D353" s="36">
        <f>D348+AH348-Load!S16</f>
        <v>296.57745912787504</v>
      </c>
      <c r="F353" s="23"/>
      <c r="G353" s="23"/>
      <c r="H353" s="23"/>
      <c r="I353" s="23" t="s">
        <v>175</v>
      </c>
      <c r="J353" s="22">
        <f>SUM(F350:T350)+SUM(AM350:AX350)</f>
        <v>75827.285445999994</v>
      </c>
      <c r="K353" s="39">
        <f>J353/D352</f>
        <v>0.50070843532752241</v>
      </c>
      <c r="L353" s="92" t="s">
        <v>223</v>
      </c>
      <c r="M353" s="92"/>
      <c r="X353" s="13">
        <f>X350*(30-AN320)</f>
        <v>22300</v>
      </c>
      <c r="AE353" s="92"/>
      <c r="AF353" s="92"/>
      <c r="AG353" s="35"/>
      <c r="AH353" s="36"/>
      <c r="AI353" s="92"/>
      <c r="AJ353" s="92"/>
      <c r="AK353" s="92"/>
      <c r="AL353" s="92"/>
      <c r="AM353" s="23"/>
      <c r="AN353" s="22"/>
      <c r="AO353" s="39"/>
      <c r="AP353" s="92"/>
      <c r="AQ353" s="92"/>
      <c r="AR353" s="92"/>
      <c r="AS353" s="92"/>
      <c r="AT353" s="92"/>
      <c r="AU353" s="92"/>
      <c r="AV353" s="92"/>
      <c r="AW353" s="92"/>
      <c r="AX353" s="92"/>
      <c r="AY353" s="92"/>
      <c r="AZ353" s="92"/>
      <c r="BA353" s="92"/>
      <c r="BB353" s="13">
        <f>BB350*AN320</f>
        <v>3140</v>
      </c>
      <c r="BC353" s="92"/>
      <c r="BD353" s="92"/>
      <c r="BE353" s="92"/>
      <c r="BF353" s="92"/>
      <c r="BG353" s="92"/>
    </row>
    <row r="354" spans="1:61" ht="15" thickBot="1" x14ac:dyDescent="0.35">
      <c r="A354" s="313"/>
      <c r="B354" s="313"/>
      <c r="C354" s="35" t="s">
        <v>383</v>
      </c>
      <c r="D354" s="49">
        <f>C349*30*50.6</f>
        <v>80960</v>
      </c>
      <c r="I354" s="23" t="s">
        <v>47</v>
      </c>
      <c r="J354" s="21">
        <f>J352/J353</f>
        <v>22.315251473700243</v>
      </c>
      <c r="L354" s="92"/>
      <c r="M354" s="92" t="s">
        <v>100</v>
      </c>
      <c r="X354" s="37">
        <f>SUM(X352:X353)+Y348+BB354</f>
        <v>79620</v>
      </c>
      <c r="Y354" t="s">
        <v>159</v>
      </c>
      <c r="AE354" s="23"/>
      <c r="AF354" s="92"/>
      <c r="AG354" s="92"/>
      <c r="AH354" s="92"/>
      <c r="AI354" s="92"/>
      <c r="AJ354" s="92"/>
      <c r="AK354" s="92"/>
      <c r="AL354" s="92"/>
      <c r="AM354" s="23"/>
      <c r="AN354" s="21"/>
      <c r="AO354" s="92"/>
      <c r="AP354" s="92"/>
      <c r="AQ354" s="92"/>
      <c r="AR354" s="92"/>
      <c r="AS354" s="92"/>
      <c r="AT354" s="92"/>
      <c r="AU354" s="92"/>
      <c r="AV354" s="92"/>
      <c r="AW354" s="92"/>
      <c r="AX354" s="92"/>
      <c r="AY354" s="92"/>
      <c r="AZ354" s="92"/>
      <c r="BA354" s="92"/>
      <c r="BB354" s="37">
        <f>SUM(BB352:BB353)+BC348</f>
        <v>15520</v>
      </c>
      <c r="BC354" s="92" t="s">
        <v>218</v>
      </c>
      <c r="BD354" s="92"/>
      <c r="BE354" s="92"/>
      <c r="BF354" s="92"/>
      <c r="BG354" s="92"/>
    </row>
    <row r="355" spans="1:61" x14ac:dyDescent="0.3">
      <c r="A355" s="313"/>
      <c r="B355" s="313"/>
      <c r="C355" s="35" t="s">
        <v>384</v>
      </c>
      <c r="D355" s="36">
        <f>D354-Load!L33</f>
        <v>451</v>
      </c>
      <c r="I355" s="67" t="s">
        <v>176</v>
      </c>
      <c r="J355" s="68">
        <f>SUM(I350:R350)+SUM(AM350:AX350)</f>
        <v>39200</v>
      </c>
      <c r="L355" s="92" t="s">
        <v>233</v>
      </c>
      <c r="M355" s="31">
        <f>SUM(I350:L350)+SUM(AM350:AP350)</f>
        <v>39200</v>
      </c>
      <c r="R355" s="295"/>
      <c r="X355" s="93">
        <f>(SUM(X352:X353)+Y348)*Y355+BB356</f>
        <v>5573400</v>
      </c>
      <c r="Y355" s="57">
        <v>70</v>
      </c>
      <c r="Z355" t="s">
        <v>160</v>
      </c>
      <c r="AE355" s="23"/>
      <c r="AF355" s="92"/>
      <c r="AG355" s="92"/>
      <c r="AH355" s="92"/>
      <c r="AI355" s="92"/>
      <c r="AJ355" s="92"/>
      <c r="AK355" s="92"/>
      <c r="AL355" s="92"/>
      <c r="AM355" s="92"/>
      <c r="AN355" s="92"/>
      <c r="AO355" s="92"/>
      <c r="AP355" s="92"/>
      <c r="AQ355" s="92"/>
      <c r="AR355" s="92"/>
      <c r="AS355" s="92"/>
      <c r="AT355" s="92"/>
      <c r="AU355" s="92"/>
      <c r="AV355" s="92"/>
      <c r="AW355" s="92"/>
      <c r="AX355" s="92"/>
      <c r="AY355" s="92"/>
      <c r="AZ355" s="92"/>
      <c r="BA355" s="92"/>
      <c r="BB355" s="93">
        <f>BB354*BC355</f>
        <v>1086400</v>
      </c>
      <c r="BC355" s="93">
        <f>Y355</f>
        <v>70</v>
      </c>
      <c r="BD355" s="92" t="s">
        <v>160</v>
      </c>
      <c r="BE355" s="92"/>
      <c r="BF355" s="92"/>
      <c r="BG355" s="92"/>
    </row>
    <row r="356" spans="1:61" x14ac:dyDescent="0.3">
      <c r="I356" s="69" t="s">
        <v>18</v>
      </c>
      <c r="J356" s="70">
        <f>SUM(I351:R351)+SUM(AM351:AX351)</f>
        <v>1432008</v>
      </c>
      <c r="L356" s="92" t="s">
        <v>235</v>
      </c>
      <c r="M356" s="31">
        <f>SUM(M350:T350)+SUM(AQ350:AX350)</f>
        <v>-5000</v>
      </c>
      <c r="X356" s="79">
        <f>X355+J356</f>
        <v>7005408</v>
      </c>
      <c r="Y356" t="s">
        <v>161</v>
      </c>
      <c r="AE356" s="23"/>
      <c r="AF356" s="92"/>
      <c r="AG356" s="92"/>
      <c r="AH356" s="92"/>
      <c r="AI356" s="92"/>
      <c r="AJ356" s="92"/>
      <c r="AK356" s="92"/>
      <c r="AL356" s="92"/>
      <c r="AM356" s="92"/>
      <c r="AN356" s="92"/>
      <c r="AO356" s="92"/>
      <c r="AP356" s="92"/>
      <c r="AQ356" s="92"/>
      <c r="AR356" s="92"/>
      <c r="AS356" s="92"/>
      <c r="AT356" s="92"/>
      <c r="AU356" s="92"/>
      <c r="AV356" s="92"/>
      <c r="AW356" s="92"/>
      <c r="AX356" s="92"/>
      <c r="AY356" s="92"/>
      <c r="AZ356" s="92"/>
      <c r="BA356" s="92"/>
      <c r="BB356" s="79">
        <f>BB355</f>
        <v>1086400</v>
      </c>
      <c r="BC356" s="92" t="s">
        <v>219</v>
      </c>
      <c r="BD356" s="92"/>
      <c r="BE356" s="92"/>
      <c r="BF356" s="92"/>
      <c r="BG356" s="92"/>
    </row>
    <row r="357" spans="1:61" ht="15" thickBot="1" x14ac:dyDescent="0.35">
      <c r="I357" s="71" t="s">
        <v>156</v>
      </c>
      <c r="J357" s="72">
        <f>J356/J355</f>
        <v>36.530816326530612</v>
      </c>
      <c r="W357" s="38" t="s">
        <v>193</v>
      </c>
      <c r="X357" s="80">
        <f>J355+X354</f>
        <v>118820</v>
      </c>
      <c r="Y357" s="79">
        <f>X356/X357</f>
        <v>58.958155192728498</v>
      </c>
    </row>
    <row r="358" spans="1:61" x14ac:dyDescent="0.3">
      <c r="AE358" s="92"/>
      <c r="AF358" s="92"/>
      <c r="AG358" s="92"/>
      <c r="AH358" s="92"/>
      <c r="AI358" s="92"/>
      <c r="AJ358" s="92"/>
      <c r="AK358" s="92"/>
      <c r="AL358" s="92"/>
      <c r="AM358" s="92"/>
      <c r="AN358" s="115" t="s">
        <v>215</v>
      </c>
      <c r="AO358" s="92"/>
      <c r="AP358" s="92"/>
      <c r="AQ358" s="92"/>
      <c r="AR358" s="92"/>
      <c r="AS358" s="92"/>
      <c r="AT358" s="92"/>
      <c r="AU358" s="92"/>
      <c r="AV358" s="92"/>
      <c r="AW358" s="92"/>
      <c r="AX358" s="92"/>
      <c r="AY358" s="92"/>
      <c r="AZ358" s="92"/>
      <c r="BA358" s="92"/>
      <c r="BB358" s="92"/>
      <c r="BC358" s="92"/>
      <c r="BD358" s="92"/>
      <c r="BE358" s="92"/>
      <c r="BF358" s="92"/>
      <c r="BG358" s="92"/>
      <c r="BH358" s="92"/>
      <c r="BI358" s="92"/>
    </row>
    <row r="359" spans="1:61" ht="15" thickBot="1" x14ac:dyDescent="0.35">
      <c r="A359" s="2" t="s">
        <v>59</v>
      </c>
      <c r="F359" s="87"/>
      <c r="U359" s="37" t="s">
        <v>237</v>
      </c>
      <c r="X359" s="91" t="s">
        <v>0</v>
      </c>
      <c r="Z359" s="481" t="s">
        <v>1</v>
      </c>
      <c r="AA359" s="482"/>
      <c r="AC359" s="1" t="s">
        <v>75</v>
      </c>
      <c r="AE359" s="2" t="s">
        <v>59</v>
      </c>
      <c r="AF359" s="92"/>
      <c r="AG359" s="92"/>
      <c r="AH359" s="92"/>
      <c r="AI359" s="92"/>
      <c r="AJ359" s="92"/>
      <c r="AK359" s="92"/>
      <c r="AL359" s="92"/>
      <c r="AM359" s="37" t="s">
        <v>214</v>
      </c>
      <c r="AN359" s="322">
        <v>5</v>
      </c>
      <c r="AO359" s="313"/>
      <c r="AP359" s="313"/>
      <c r="AQ359" s="313"/>
      <c r="AR359" s="313"/>
      <c r="AS359" s="313"/>
      <c r="AT359" s="313"/>
      <c r="AU359" s="313"/>
      <c r="AV359" s="313"/>
      <c r="AW359" s="313"/>
      <c r="AX359" s="313"/>
      <c r="AY359" s="37" t="s">
        <v>237</v>
      </c>
      <c r="AZ359" s="92"/>
      <c r="BA359" s="92"/>
      <c r="BB359" s="114" t="s">
        <v>0</v>
      </c>
      <c r="BC359" s="92"/>
      <c r="BD359" s="481" t="s">
        <v>1</v>
      </c>
      <c r="BE359" s="483"/>
      <c r="BF359" s="482"/>
      <c r="BG359" s="1" t="s">
        <v>75</v>
      </c>
      <c r="BH359" s="92"/>
      <c r="BI359" s="92"/>
    </row>
    <row r="360" spans="1:61" x14ac:dyDescent="0.3">
      <c r="F360" s="87" t="s">
        <v>415</v>
      </c>
      <c r="I360" s="73" t="s">
        <v>405</v>
      </c>
      <c r="J360" s="74" t="s">
        <v>226</v>
      </c>
      <c r="K360" s="74" t="s">
        <v>3</v>
      </c>
      <c r="L360" s="74" t="s">
        <v>226</v>
      </c>
      <c r="M360" s="74" t="s">
        <v>226</v>
      </c>
      <c r="N360" s="74" t="s">
        <v>226</v>
      </c>
      <c r="O360" s="74"/>
      <c r="P360" s="104"/>
      <c r="Q360" s="104"/>
      <c r="R360" s="104"/>
      <c r="S360" s="104"/>
      <c r="T360" s="104"/>
      <c r="U360" s="105" t="s">
        <v>2</v>
      </c>
      <c r="X360" s="3" t="s">
        <v>4</v>
      </c>
      <c r="Z360" s="3" t="s">
        <v>4</v>
      </c>
      <c r="AA360" s="4" t="s">
        <v>4</v>
      </c>
      <c r="AB360" s="5" t="s">
        <v>4</v>
      </c>
      <c r="AC360" s="5" t="s">
        <v>6</v>
      </c>
      <c r="AE360" s="92"/>
      <c r="AF360" s="92"/>
      <c r="AG360" s="92"/>
      <c r="AH360" s="92"/>
      <c r="AI360" s="92"/>
      <c r="AJ360" s="92"/>
      <c r="AK360" s="92"/>
      <c r="AL360" s="92"/>
      <c r="AM360" s="73" t="s">
        <v>405</v>
      </c>
      <c r="AN360" s="74" t="s">
        <v>226</v>
      </c>
      <c r="AO360" s="74" t="s">
        <v>3</v>
      </c>
      <c r="AP360" s="74" t="s">
        <v>226</v>
      </c>
      <c r="AQ360" s="74" t="s">
        <v>226</v>
      </c>
      <c r="AR360" s="74"/>
      <c r="AS360" s="74"/>
      <c r="AT360" s="104"/>
      <c r="AU360" s="104"/>
      <c r="AV360" s="104"/>
      <c r="AW360" s="104"/>
      <c r="AX360" s="104"/>
      <c r="AY360" s="105" t="s">
        <v>2</v>
      </c>
      <c r="AZ360" s="92"/>
      <c r="BA360" s="92"/>
      <c r="BB360" s="3" t="s">
        <v>4</v>
      </c>
      <c r="BC360" s="92"/>
      <c r="BD360" s="3" t="s">
        <v>4</v>
      </c>
      <c r="BE360" s="4" t="s">
        <v>4</v>
      </c>
      <c r="BF360" s="5" t="s">
        <v>4</v>
      </c>
      <c r="BG360" s="5" t="s">
        <v>6</v>
      </c>
      <c r="BH360" s="92"/>
      <c r="BI360" s="92"/>
    </row>
    <row r="361" spans="1:61" ht="15" thickBot="1" x14ac:dyDescent="0.35">
      <c r="A361" s="2" t="s">
        <v>7</v>
      </c>
      <c r="B361" s="2" t="s">
        <v>8</v>
      </c>
      <c r="C361" s="2" t="s">
        <v>9</v>
      </c>
      <c r="D361" s="2" t="s">
        <v>10</v>
      </c>
      <c r="E361" s="2" t="s">
        <v>7</v>
      </c>
      <c r="F361" s="2" t="s">
        <v>11</v>
      </c>
      <c r="G361" s="2" t="s">
        <v>12</v>
      </c>
      <c r="H361" s="2" t="s">
        <v>13</v>
      </c>
      <c r="I361" s="75" t="s">
        <v>51</v>
      </c>
      <c r="J361" s="76" t="s">
        <v>15</v>
      </c>
      <c r="K361" s="76" t="s">
        <v>15</v>
      </c>
      <c r="L361" s="76" t="s">
        <v>15</v>
      </c>
      <c r="M361" s="76" t="s">
        <v>15</v>
      </c>
      <c r="N361" s="76" t="s">
        <v>15</v>
      </c>
      <c r="O361" s="76"/>
      <c r="P361" s="106"/>
      <c r="Q361" s="106"/>
      <c r="R361" s="106"/>
      <c r="S361" s="106"/>
      <c r="T361" s="106"/>
      <c r="U361" s="107" t="s">
        <v>14</v>
      </c>
      <c r="V361" s="2" t="s">
        <v>16</v>
      </c>
      <c r="X361" s="6" t="s">
        <v>17</v>
      </c>
      <c r="Z361" s="6" t="s">
        <v>5</v>
      </c>
      <c r="AA361" s="7" t="s">
        <v>15</v>
      </c>
      <c r="AB361" s="8" t="s">
        <v>18</v>
      </c>
      <c r="AC361" s="8" t="s">
        <v>0</v>
      </c>
      <c r="AE361" s="2" t="s">
        <v>7</v>
      </c>
      <c r="AF361" s="2" t="s">
        <v>8</v>
      </c>
      <c r="AG361" s="2" t="s">
        <v>9</v>
      </c>
      <c r="AH361" s="2" t="s">
        <v>10</v>
      </c>
      <c r="AI361" s="2" t="s">
        <v>7</v>
      </c>
      <c r="AJ361" s="2" t="s">
        <v>11</v>
      </c>
      <c r="AK361" s="2" t="s">
        <v>12</v>
      </c>
      <c r="AL361" s="2" t="s">
        <v>13</v>
      </c>
      <c r="AM361" s="75" t="s">
        <v>51</v>
      </c>
      <c r="AN361" s="76" t="s">
        <v>15</v>
      </c>
      <c r="AO361" s="76" t="s">
        <v>15</v>
      </c>
      <c r="AP361" s="76" t="s">
        <v>15</v>
      </c>
      <c r="AQ361" s="76" t="s">
        <v>15</v>
      </c>
      <c r="AR361" s="76"/>
      <c r="AS361" s="76"/>
      <c r="AT361" s="106"/>
      <c r="AU361" s="106"/>
      <c r="AV361" s="106"/>
      <c r="AW361" s="106"/>
      <c r="AX361" s="106"/>
      <c r="AY361" s="107" t="s">
        <v>14</v>
      </c>
      <c r="AZ361" s="2" t="s">
        <v>16</v>
      </c>
      <c r="BA361" s="92"/>
      <c r="BB361" s="6" t="s">
        <v>17</v>
      </c>
      <c r="BC361" s="92"/>
      <c r="BD361" s="6" t="s">
        <v>5</v>
      </c>
      <c r="BE361" s="7" t="s">
        <v>15</v>
      </c>
      <c r="BF361" s="8" t="s">
        <v>18</v>
      </c>
      <c r="BG361" s="8" t="s">
        <v>0</v>
      </c>
      <c r="BH361" s="92"/>
      <c r="BI361" s="92"/>
    </row>
    <row r="362" spans="1:61" x14ac:dyDescent="0.3">
      <c r="A362" s="9" t="s">
        <v>19</v>
      </c>
      <c r="B362" s="2">
        <v>49</v>
      </c>
      <c r="C362" s="99">
        <f>ROUND(Load!$M$43+'2022'!$E$387*0.485/744,0)</f>
        <v>78</v>
      </c>
      <c r="D362" s="2">
        <f t="shared" ref="D362:D385" si="328">SUM(B362:C362)</f>
        <v>127</v>
      </c>
      <c r="E362" s="9" t="s">
        <v>19</v>
      </c>
      <c r="F362" s="2"/>
      <c r="G362" s="2">
        <v>35</v>
      </c>
      <c r="H362" s="2"/>
      <c r="I362" s="73"/>
      <c r="J362" s="74">
        <v>50</v>
      </c>
      <c r="K362" s="74">
        <v>50</v>
      </c>
      <c r="L362" s="74"/>
      <c r="M362" s="74">
        <v>25</v>
      </c>
      <c r="N362" s="74">
        <v>55</v>
      </c>
      <c r="O362" s="74"/>
      <c r="P362" s="104"/>
      <c r="Q362" s="104"/>
      <c r="R362" s="104"/>
      <c r="S362" s="104"/>
      <c r="T362" s="104"/>
      <c r="U362" s="105"/>
      <c r="V362" s="2">
        <f t="shared" ref="V362:V385" si="329">SUM(F362:U362)</f>
        <v>215</v>
      </c>
      <c r="W362" s="10"/>
      <c r="X362" s="11">
        <f t="shared" ref="X362:X385" si="330">D362-V362</f>
        <v>-88</v>
      </c>
      <c r="Y362" s="10"/>
      <c r="Z362" s="12">
        <f>142-F362-H362</f>
        <v>142</v>
      </c>
      <c r="AA362" s="12">
        <f>342-J362-K362-L362-M362-N362</f>
        <v>162</v>
      </c>
      <c r="AB362" s="2">
        <f t="shared" ref="AB362:AB385" si="331">Z362+AA362</f>
        <v>304</v>
      </c>
      <c r="AC362" s="2">
        <f t="shared" ref="AC362:AC385" si="332">Z362+AA362-X362</f>
        <v>392</v>
      </c>
      <c r="AE362" s="9" t="s">
        <v>19</v>
      </c>
      <c r="AF362" s="2">
        <v>98</v>
      </c>
      <c r="AG362" s="99">
        <f>ROUND(Load!$M$43+'2022'!$E$387*0.485/744,0)</f>
        <v>78</v>
      </c>
      <c r="AH362" s="2">
        <f t="shared" ref="AH362:AH385" si="333">SUM(AF362:AG362)</f>
        <v>176</v>
      </c>
      <c r="AI362" s="9" t="s">
        <v>19</v>
      </c>
      <c r="AJ362" s="2"/>
      <c r="AK362" s="2">
        <v>35</v>
      </c>
      <c r="AL362" s="2"/>
      <c r="AM362" s="73"/>
      <c r="AN362" s="74">
        <v>50</v>
      </c>
      <c r="AO362" s="74">
        <v>50</v>
      </c>
      <c r="AP362" s="74">
        <v>25</v>
      </c>
      <c r="AQ362" s="74">
        <v>55</v>
      </c>
      <c r="AR362" s="74"/>
      <c r="AS362" s="74"/>
      <c r="AT362" s="104"/>
      <c r="AU362" s="104"/>
      <c r="AV362" s="104"/>
      <c r="AW362" s="104"/>
      <c r="AX362" s="104"/>
      <c r="AY362" s="105"/>
      <c r="AZ362" s="2">
        <f t="shared" ref="AZ362:AZ385" si="334">SUM(AJ362:AY362)</f>
        <v>215</v>
      </c>
      <c r="BA362" s="10"/>
      <c r="BB362" s="11">
        <f t="shared" ref="BB362:BB385" si="335">AH362-AZ362</f>
        <v>-39</v>
      </c>
      <c r="BC362" s="10"/>
      <c r="BD362" s="12">
        <f t="shared" ref="BD362:BD385" si="336">142-AJ362-AL362</f>
        <v>142</v>
      </c>
      <c r="BE362" s="12">
        <f>342-AN362-AO362-AP362-AQ362</f>
        <v>162</v>
      </c>
      <c r="BF362" s="2">
        <f t="shared" ref="BF362:BF385" si="337">BD362+BE362</f>
        <v>304</v>
      </c>
      <c r="BG362" s="2">
        <f t="shared" ref="BG362:BG385" si="338">BD362+BE362-BB362</f>
        <v>343</v>
      </c>
      <c r="BH362" s="92"/>
      <c r="BI362" s="92"/>
    </row>
    <row r="363" spans="1:61" x14ac:dyDescent="0.3">
      <c r="A363" s="9" t="s">
        <v>20</v>
      </c>
      <c r="B363" s="2">
        <v>49</v>
      </c>
      <c r="C363" s="99">
        <f>ROUND(Load!$M$43+'2022'!$E$387*0.485/744,0)</f>
        <v>78</v>
      </c>
      <c r="D363" s="2">
        <f t="shared" si="328"/>
        <v>127</v>
      </c>
      <c r="E363" s="9" t="s">
        <v>20</v>
      </c>
      <c r="F363" s="2"/>
      <c r="G363" s="2">
        <v>35</v>
      </c>
      <c r="H363" s="2"/>
      <c r="I363" s="77"/>
      <c r="J363" s="78">
        <v>50</v>
      </c>
      <c r="K363" s="78">
        <v>50</v>
      </c>
      <c r="L363" s="78"/>
      <c r="M363" s="78">
        <v>25</v>
      </c>
      <c r="N363" s="78">
        <v>55</v>
      </c>
      <c r="O363" s="78"/>
      <c r="P363" s="108"/>
      <c r="Q363" s="108"/>
      <c r="R363" s="108"/>
      <c r="S363" s="108"/>
      <c r="T363" s="108"/>
      <c r="U363" s="109"/>
      <c r="V363" s="2">
        <f t="shared" si="329"/>
        <v>215</v>
      </c>
      <c r="W363" s="10"/>
      <c r="X363" s="11">
        <f t="shared" si="330"/>
        <v>-88</v>
      </c>
      <c r="Y363" s="10"/>
      <c r="Z363" s="12">
        <f t="shared" ref="Z363:Z385" si="339">142-F363-H363</f>
        <v>142</v>
      </c>
      <c r="AA363" s="12">
        <f t="shared" ref="AA363:AA367" si="340">342-J363-K363-L363-M363-N363</f>
        <v>162</v>
      </c>
      <c r="AB363" s="2">
        <f t="shared" si="331"/>
        <v>304</v>
      </c>
      <c r="AC363" s="2">
        <f t="shared" si="332"/>
        <v>392</v>
      </c>
      <c r="AE363" s="9" t="s">
        <v>20</v>
      </c>
      <c r="AF363" s="2">
        <v>98</v>
      </c>
      <c r="AG363" s="99">
        <f>ROUND(Load!$M$43+'2022'!$E$387*0.485/744,0)</f>
        <v>78</v>
      </c>
      <c r="AH363" s="2">
        <f t="shared" si="333"/>
        <v>176</v>
      </c>
      <c r="AI363" s="9" t="s">
        <v>20</v>
      </c>
      <c r="AJ363" s="2"/>
      <c r="AK363" s="2">
        <v>35</v>
      </c>
      <c r="AL363" s="2"/>
      <c r="AM363" s="77"/>
      <c r="AN363" s="78">
        <v>50</v>
      </c>
      <c r="AO363" s="78">
        <v>50</v>
      </c>
      <c r="AP363" s="78">
        <v>25</v>
      </c>
      <c r="AQ363" s="78">
        <v>55</v>
      </c>
      <c r="AR363" s="78"/>
      <c r="AS363" s="78"/>
      <c r="AT363" s="108"/>
      <c r="AU363" s="108"/>
      <c r="AV363" s="108"/>
      <c r="AW363" s="108"/>
      <c r="AX363" s="108"/>
      <c r="AY363" s="109"/>
      <c r="AZ363" s="2">
        <f t="shared" si="334"/>
        <v>215</v>
      </c>
      <c r="BA363" s="10"/>
      <c r="BB363" s="11">
        <f t="shared" si="335"/>
        <v>-39</v>
      </c>
      <c r="BC363" s="10"/>
      <c r="BD363" s="12">
        <f t="shared" si="336"/>
        <v>142</v>
      </c>
      <c r="BE363" s="12">
        <f t="shared" ref="BE363:BE385" si="341">342-AN363-AO363-AP363-AQ363</f>
        <v>162</v>
      </c>
      <c r="BF363" s="2">
        <f t="shared" si="337"/>
        <v>304</v>
      </c>
      <c r="BG363" s="2">
        <f t="shared" si="338"/>
        <v>343</v>
      </c>
      <c r="BH363" s="92"/>
      <c r="BI363" s="92"/>
    </row>
    <row r="364" spans="1:61" x14ac:dyDescent="0.3">
      <c r="A364" s="9" t="s">
        <v>21</v>
      </c>
      <c r="B364" s="2">
        <v>49</v>
      </c>
      <c r="C364" s="99">
        <f>ROUND(Load!$M$43+'2022'!$E$387*0.485/744,0)</f>
        <v>78</v>
      </c>
      <c r="D364" s="2">
        <f t="shared" si="328"/>
        <v>127</v>
      </c>
      <c r="E364" s="9" t="s">
        <v>21</v>
      </c>
      <c r="F364" s="2"/>
      <c r="G364" s="2">
        <v>35</v>
      </c>
      <c r="H364" s="2"/>
      <c r="I364" s="77"/>
      <c r="J364" s="78">
        <v>50</v>
      </c>
      <c r="K364" s="78">
        <v>50</v>
      </c>
      <c r="L364" s="78"/>
      <c r="M364" s="78">
        <v>25</v>
      </c>
      <c r="N364" s="78">
        <v>55</v>
      </c>
      <c r="O364" s="78"/>
      <c r="P364" s="108"/>
      <c r="Q364" s="108"/>
      <c r="R364" s="108"/>
      <c r="S364" s="108"/>
      <c r="T364" s="108"/>
      <c r="U364" s="109"/>
      <c r="V364" s="2">
        <f t="shared" si="329"/>
        <v>215</v>
      </c>
      <c r="W364" s="10"/>
      <c r="X364" s="11">
        <f t="shared" si="330"/>
        <v>-88</v>
      </c>
      <c r="Y364" s="10"/>
      <c r="Z364" s="12">
        <f>142-F364-H364</f>
        <v>142</v>
      </c>
      <c r="AA364" s="12">
        <f t="shared" si="340"/>
        <v>162</v>
      </c>
      <c r="AB364" s="2">
        <f t="shared" si="331"/>
        <v>304</v>
      </c>
      <c r="AC364" s="2">
        <f t="shared" si="332"/>
        <v>392</v>
      </c>
      <c r="AE364" s="9" t="s">
        <v>21</v>
      </c>
      <c r="AF364" s="2">
        <v>98</v>
      </c>
      <c r="AG364" s="99">
        <f>ROUND(Load!$M$43+'2022'!$E$387*0.485/744,0)</f>
        <v>78</v>
      </c>
      <c r="AH364" s="2">
        <f t="shared" si="333"/>
        <v>176</v>
      </c>
      <c r="AI364" s="9" t="s">
        <v>21</v>
      </c>
      <c r="AJ364" s="2"/>
      <c r="AK364" s="2">
        <v>35</v>
      </c>
      <c r="AL364" s="2"/>
      <c r="AM364" s="77"/>
      <c r="AN364" s="78">
        <v>50</v>
      </c>
      <c r="AO364" s="78">
        <v>50</v>
      </c>
      <c r="AP364" s="78">
        <v>25</v>
      </c>
      <c r="AQ364" s="78">
        <v>55</v>
      </c>
      <c r="AR364" s="78"/>
      <c r="AS364" s="78"/>
      <c r="AT364" s="108"/>
      <c r="AU364" s="108"/>
      <c r="AV364" s="108"/>
      <c r="AW364" s="108"/>
      <c r="AX364" s="108"/>
      <c r="AY364" s="109"/>
      <c r="AZ364" s="2">
        <f t="shared" si="334"/>
        <v>215</v>
      </c>
      <c r="BA364" s="10"/>
      <c r="BB364" s="11">
        <f t="shared" si="335"/>
        <v>-39</v>
      </c>
      <c r="BC364" s="10"/>
      <c r="BD364" s="12">
        <f t="shared" si="336"/>
        <v>142</v>
      </c>
      <c r="BE364" s="12">
        <f t="shared" si="341"/>
        <v>162</v>
      </c>
      <c r="BF364" s="2">
        <f t="shared" si="337"/>
        <v>304</v>
      </c>
      <c r="BG364" s="2">
        <f t="shared" si="338"/>
        <v>343</v>
      </c>
      <c r="BH364" s="92"/>
      <c r="BI364" s="92"/>
    </row>
    <row r="365" spans="1:61" x14ac:dyDescent="0.3">
      <c r="A365" s="9" t="s">
        <v>22</v>
      </c>
      <c r="B365" s="2">
        <v>49</v>
      </c>
      <c r="C365" s="99">
        <f>ROUND(Load!$M$43+'2022'!$E$387*0.485/744,0)</f>
        <v>78</v>
      </c>
      <c r="D365" s="2">
        <f t="shared" si="328"/>
        <v>127</v>
      </c>
      <c r="E365" s="9" t="s">
        <v>22</v>
      </c>
      <c r="F365" s="2"/>
      <c r="G365" s="2">
        <v>35</v>
      </c>
      <c r="H365" s="2"/>
      <c r="I365" s="77"/>
      <c r="J365" s="78">
        <v>50</v>
      </c>
      <c r="K365" s="78">
        <v>50</v>
      </c>
      <c r="L365" s="78"/>
      <c r="M365" s="78">
        <v>25</v>
      </c>
      <c r="N365" s="78">
        <v>55</v>
      </c>
      <c r="O365" s="78"/>
      <c r="P365" s="108"/>
      <c r="Q365" s="108"/>
      <c r="R365" s="108"/>
      <c r="S365" s="108"/>
      <c r="T365" s="108"/>
      <c r="U365" s="109"/>
      <c r="V365" s="2">
        <f t="shared" si="329"/>
        <v>215</v>
      </c>
      <c r="W365" s="10"/>
      <c r="X365" s="11">
        <f t="shared" si="330"/>
        <v>-88</v>
      </c>
      <c r="Y365" s="10"/>
      <c r="Z365" s="12">
        <f t="shared" si="339"/>
        <v>142</v>
      </c>
      <c r="AA365" s="12">
        <f t="shared" si="340"/>
        <v>162</v>
      </c>
      <c r="AB365" s="2">
        <f t="shared" si="331"/>
        <v>304</v>
      </c>
      <c r="AC365" s="2">
        <f t="shared" si="332"/>
        <v>392</v>
      </c>
      <c r="AE365" s="9" t="s">
        <v>22</v>
      </c>
      <c r="AF365" s="2">
        <v>98</v>
      </c>
      <c r="AG365" s="99">
        <f>ROUND(Load!$M$43+'2022'!$E$387*0.485/744,0)</f>
        <v>78</v>
      </c>
      <c r="AH365" s="2">
        <f t="shared" si="333"/>
        <v>176</v>
      </c>
      <c r="AI365" s="9" t="s">
        <v>22</v>
      </c>
      <c r="AJ365" s="2"/>
      <c r="AK365" s="2">
        <v>35</v>
      </c>
      <c r="AL365" s="2"/>
      <c r="AM365" s="77"/>
      <c r="AN365" s="78">
        <v>50</v>
      </c>
      <c r="AO365" s="78">
        <v>50</v>
      </c>
      <c r="AP365" s="78">
        <v>25</v>
      </c>
      <c r="AQ365" s="78">
        <v>55</v>
      </c>
      <c r="AR365" s="78"/>
      <c r="AS365" s="78"/>
      <c r="AT365" s="108"/>
      <c r="AU365" s="108"/>
      <c r="AV365" s="108"/>
      <c r="AW365" s="108"/>
      <c r="AX365" s="108"/>
      <c r="AY365" s="109"/>
      <c r="AZ365" s="2">
        <f t="shared" si="334"/>
        <v>215</v>
      </c>
      <c r="BA365" s="10"/>
      <c r="BB365" s="11">
        <f t="shared" si="335"/>
        <v>-39</v>
      </c>
      <c r="BC365" s="10"/>
      <c r="BD365" s="12">
        <f t="shared" si="336"/>
        <v>142</v>
      </c>
      <c r="BE365" s="12">
        <f t="shared" si="341"/>
        <v>162</v>
      </c>
      <c r="BF365" s="2">
        <f t="shared" si="337"/>
        <v>304</v>
      </c>
      <c r="BG365" s="2">
        <f t="shared" si="338"/>
        <v>343</v>
      </c>
      <c r="BH365" s="92"/>
      <c r="BI365" s="92"/>
    </row>
    <row r="366" spans="1:61" x14ac:dyDescent="0.3">
      <c r="A366" s="9" t="s">
        <v>23</v>
      </c>
      <c r="B366" s="2">
        <v>49</v>
      </c>
      <c r="C366" s="99">
        <f>ROUND(Load!$M$43+'2022'!$E$387*0.485/744,0)</f>
        <v>78</v>
      </c>
      <c r="D366" s="2">
        <f t="shared" si="328"/>
        <v>127</v>
      </c>
      <c r="E366" s="9" t="s">
        <v>23</v>
      </c>
      <c r="F366" s="2"/>
      <c r="G366" s="2">
        <v>35</v>
      </c>
      <c r="H366" s="2"/>
      <c r="I366" s="77"/>
      <c r="J366" s="78">
        <v>50</v>
      </c>
      <c r="K366" s="78">
        <v>50</v>
      </c>
      <c r="L366" s="78"/>
      <c r="M366" s="78">
        <v>25</v>
      </c>
      <c r="N366" s="78">
        <v>55</v>
      </c>
      <c r="O366" s="78"/>
      <c r="P366" s="108"/>
      <c r="Q366" s="108"/>
      <c r="R366" s="108"/>
      <c r="S366" s="108"/>
      <c r="T366" s="108"/>
      <c r="U366" s="109"/>
      <c r="V366" s="2">
        <f t="shared" si="329"/>
        <v>215</v>
      </c>
      <c r="W366" s="10"/>
      <c r="X366" s="11">
        <f t="shared" si="330"/>
        <v>-88</v>
      </c>
      <c r="Y366" s="10"/>
      <c r="Z366" s="12">
        <f t="shared" si="339"/>
        <v>142</v>
      </c>
      <c r="AA366" s="12">
        <f t="shared" si="340"/>
        <v>162</v>
      </c>
      <c r="AB366" s="2">
        <f t="shared" si="331"/>
        <v>304</v>
      </c>
      <c r="AC366" s="2">
        <f t="shared" si="332"/>
        <v>392</v>
      </c>
      <c r="AE366" s="9" t="s">
        <v>23</v>
      </c>
      <c r="AF366" s="2">
        <v>98</v>
      </c>
      <c r="AG366" s="99">
        <f>ROUND(Load!$M$43+'2022'!$E$387*0.485/744,0)</f>
        <v>78</v>
      </c>
      <c r="AH366" s="2">
        <f t="shared" si="333"/>
        <v>176</v>
      </c>
      <c r="AI366" s="9" t="s">
        <v>23</v>
      </c>
      <c r="AJ366" s="2"/>
      <c r="AK366" s="2">
        <v>35</v>
      </c>
      <c r="AL366" s="2"/>
      <c r="AM366" s="77"/>
      <c r="AN366" s="78">
        <v>50</v>
      </c>
      <c r="AO366" s="78">
        <v>50</v>
      </c>
      <c r="AP366" s="78">
        <v>25</v>
      </c>
      <c r="AQ366" s="78">
        <v>55</v>
      </c>
      <c r="AR366" s="78"/>
      <c r="AS366" s="78"/>
      <c r="AT366" s="108"/>
      <c r="AU366" s="108"/>
      <c r="AV366" s="108"/>
      <c r="AW366" s="108"/>
      <c r="AX366" s="108"/>
      <c r="AY366" s="109"/>
      <c r="AZ366" s="2">
        <f t="shared" si="334"/>
        <v>215</v>
      </c>
      <c r="BA366" s="10"/>
      <c r="BB366" s="11">
        <f t="shared" si="335"/>
        <v>-39</v>
      </c>
      <c r="BC366" s="10"/>
      <c r="BD366" s="12">
        <f>142-AJ366-AL366</f>
        <v>142</v>
      </c>
      <c r="BE366" s="12">
        <f t="shared" si="341"/>
        <v>162</v>
      </c>
      <c r="BF366" s="2">
        <f t="shared" si="337"/>
        <v>304</v>
      </c>
      <c r="BG366" s="2">
        <f t="shared" si="338"/>
        <v>343</v>
      </c>
      <c r="BH366" s="92"/>
      <c r="BI366" s="92"/>
    </row>
    <row r="367" spans="1:61" x14ac:dyDescent="0.3">
      <c r="A367" s="9" t="s">
        <v>24</v>
      </c>
      <c r="B367" s="2">
        <v>49</v>
      </c>
      <c r="C367" s="99">
        <f>ROUND(Load!$M$43+'2022'!$E$387*0.485/744,0)</f>
        <v>78</v>
      </c>
      <c r="D367" s="2">
        <f t="shared" si="328"/>
        <v>127</v>
      </c>
      <c r="E367" s="9" t="s">
        <v>24</v>
      </c>
      <c r="F367" s="2"/>
      <c r="G367" s="2">
        <v>35</v>
      </c>
      <c r="H367" s="2"/>
      <c r="I367" s="77"/>
      <c r="J367" s="78">
        <v>50</v>
      </c>
      <c r="K367" s="78">
        <v>50</v>
      </c>
      <c r="L367" s="78"/>
      <c r="M367" s="78">
        <v>25</v>
      </c>
      <c r="N367" s="78">
        <v>55</v>
      </c>
      <c r="O367" s="78"/>
      <c r="P367" s="108"/>
      <c r="Q367" s="108"/>
      <c r="R367" s="108"/>
      <c r="S367" s="108"/>
      <c r="T367" s="108"/>
      <c r="U367" s="109"/>
      <c r="V367" s="2">
        <f t="shared" si="329"/>
        <v>215</v>
      </c>
      <c r="W367" s="10"/>
      <c r="X367" s="11">
        <f t="shared" si="330"/>
        <v>-88</v>
      </c>
      <c r="Y367" s="10"/>
      <c r="Z367" s="12">
        <f t="shared" si="339"/>
        <v>142</v>
      </c>
      <c r="AA367" s="12">
        <f t="shared" si="340"/>
        <v>162</v>
      </c>
      <c r="AB367" s="2">
        <f t="shared" si="331"/>
        <v>304</v>
      </c>
      <c r="AC367" s="2">
        <f t="shared" si="332"/>
        <v>392</v>
      </c>
      <c r="AE367" s="9" t="s">
        <v>24</v>
      </c>
      <c r="AF367" s="2">
        <v>98</v>
      </c>
      <c r="AG367" s="99">
        <f>ROUND(Load!$M$43+'2022'!$E$387*0.485/744,0)</f>
        <v>78</v>
      </c>
      <c r="AH367" s="2">
        <f t="shared" si="333"/>
        <v>176</v>
      </c>
      <c r="AI367" s="9" t="s">
        <v>24</v>
      </c>
      <c r="AJ367" s="2"/>
      <c r="AK367" s="2">
        <v>35</v>
      </c>
      <c r="AL367" s="2"/>
      <c r="AM367" s="77"/>
      <c r="AN367" s="78">
        <v>50</v>
      </c>
      <c r="AO367" s="78">
        <v>50</v>
      </c>
      <c r="AP367" s="78">
        <v>25</v>
      </c>
      <c r="AQ367" s="78">
        <v>55</v>
      </c>
      <c r="AR367" s="78"/>
      <c r="AS367" s="78"/>
      <c r="AT367" s="108"/>
      <c r="AU367" s="108"/>
      <c r="AV367" s="108"/>
      <c r="AW367" s="108"/>
      <c r="AX367" s="108"/>
      <c r="AY367" s="109"/>
      <c r="AZ367" s="2">
        <f t="shared" si="334"/>
        <v>215</v>
      </c>
      <c r="BA367" s="10"/>
      <c r="BB367" s="11">
        <f t="shared" si="335"/>
        <v>-39</v>
      </c>
      <c r="BC367" s="10"/>
      <c r="BD367" s="12">
        <f t="shared" si="336"/>
        <v>142</v>
      </c>
      <c r="BE367" s="12">
        <f t="shared" si="341"/>
        <v>162</v>
      </c>
      <c r="BF367" s="2">
        <f t="shared" si="337"/>
        <v>304</v>
      </c>
      <c r="BG367" s="2">
        <f t="shared" si="338"/>
        <v>343</v>
      </c>
      <c r="BH367" s="92"/>
      <c r="BI367" s="92"/>
    </row>
    <row r="368" spans="1:61" x14ac:dyDescent="0.3">
      <c r="A368" s="9" t="s">
        <v>25</v>
      </c>
      <c r="B368" s="2"/>
      <c r="C368" s="99">
        <f>ROUND(Load!$M$43+'2022'!$E$387*0.485/744,0)</f>
        <v>78</v>
      </c>
      <c r="D368" s="2">
        <f t="shared" si="328"/>
        <v>78</v>
      </c>
      <c r="E368" s="9" t="s">
        <v>25</v>
      </c>
      <c r="F368" s="2">
        <f>'Hoover with 30 MW Solar'!$K$39</f>
        <v>29</v>
      </c>
      <c r="G368" s="2">
        <v>35</v>
      </c>
      <c r="H368" s="2">
        <v>34</v>
      </c>
      <c r="I368" s="77">
        <v>50</v>
      </c>
      <c r="J368" s="78"/>
      <c r="K368" s="78"/>
      <c r="L368" s="78">
        <v>50</v>
      </c>
      <c r="M368" s="78">
        <v>25</v>
      </c>
      <c r="N368" s="78"/>
      <c r="O368" s="78"/>
      <c r="P368" s="108"/>
      <c r="Q368" s="108"/>
      <c r="R368" s="108"/>
      <c r="S368" s="108"/>
      <c r="T368" s="108"/>
      <c r="U368" s="109">
        <v>-12</v>
      </c>
      <c r="V368" s="2">
        <f t="shared" si="329"/>
        <v>211</v>
      </c>
      <c r="W368" s="10"/>
      <c r="X368" s="13">
        <f t="shared" si="330"/>
        <v>-133</v>
      </c>
      <c r="Y368" s="10"/>
      <c r="Z368" s="14">
        <f t="shared" si="339"/>
        <v>79</v>
      </c>
      <c r="AA368" s="14">
        <f>217-J368-K368-L368-M368-N368</f>
        <v>142</v>
      </c>
      <c r="AB368" s="2">
        <f t="shared" si="331"/>
        <v>221</v>
      </c>
      <c r="AC368" s="2">
        <f t="shared" si="332"/>
        <v>354</v>
      </c>
      <c r="AE368" s="9" t="s">
        <v>25</v>
      </c>
      <c r="AF368" s="2"/>
      <c r="AG368" s="99">
        <f>ROUND(Load!$M$43+'2022'!$E$387*0.485/744,0)</f>
        <v>78</v>
      </c>
      <c r="AH368" s="2">
        <f t="shared" si="333"/>
        <v>78</v>
      </c>
      <c r="AI368" s="9" t="s">
        <v>25</v>
      </c>
      <c r="AJ368" s="2">
        <f>'Hoover with 30 MW Solar'!$K$39</f>
        <v>29</v>
      </c>
      <c r="AK368" s="2">
        <v>35</v>
      </c>
      <c r="AL368" s="2">
        <v>40</v>
      </c>
      <c r="AM368" s="77">
        <v>50</v>
      </c>
      <c r="AN368" s="78">
        <v>50</v>
      </c>
      <c r="AO368" s="78">
        <v>50</v>
      </c>
      <c r="AP368" s="78">
        <v>25</v>
      </c>
      <c r="AQ368" s="78">
        <v>55</v>
      </c>
      <c r="AR368" s="78"/>
      <c r="AS368" s="78"/>
      <c r="AT368" s="108"/>
      <c r="AU368" s="108"/>
      <c r="AV368" s="108"/>
      <c r="AW368" s="108"/>
      <c r="AX368" s="108"/>
      <c r="AY368" s="109">
        <v>-12</v>
      </c>
      <c r="AZ368" s="2">
        <f t="shared" si="334"/>
        <v>322</v>
      </c>
      <c r="BA368" s="10"/>
      <c r="BB368" s="13">
        <f t="shared" si="335"/>
        <v>-244</v>
      </c>
      <c r="BC368" s="10"/>
      <c r="BD368" s="14">
        <f t="shared" si="336"/>
        <v>73</v>
      </c>
      <c r="BE368" s="14">
        <f t="shared" si="341"/>
        <v>162</v>
      </c>
      <c r="BF368" s="2">
        <f t="shared" si="337"/>
        <v>235</v>
      </c>
      <c r="BG368" s="2">
        <f t="shared" si="338"/>
        <v>479</v>
      </c>
      <c r="BH368" s="92"/>
      <c r="BI368" s="92"/>
    </row>
    <row r="369" spans="1:61" x14ac:dyDescent="0.3">
      <c r="A369" s="9" t="s">
        <v>26</v>
      </c>
      <c r="B369" s="2"/>
      <c r="C369" s="99">
        <f>ROUND(Load!$M$43+'2022'!$E$387*0.485/744,0)</f>
        <v>78</v>
      </c>
      <c r="D369" s="2">
        <f t="shared" si="328"/>
        <v>78</v>
      </c>
      <c r="E369" s="9" t="s">
        <v>26</v>
      </c>
      <c r="F369" s="2">
        <f>'Hoover with 30 MW Solar'!$K$39</f>
        <v>29</v>
      </c>
      <c r="G369" s="2">
        <v>35</v>
      </c>
      <c r="H369" s="2">
        <v>33</v>
      </c>
      <c r="I369" s="77">
        <v>50</v>
      </c>
      <c r="J369" s="78"/>
      <c r="K369" s="78"/>
      <c r="L369" s="78">
        <v>50</v>
      </c>
      <c r="M369" s="78">
        <v>25</v>
      </c>
      <c r="N369" s="78"/>
      <c r="O369" s="78"/>
      <c r="P369" s="108"/>
      <c r="Q369" s="108"/>
      <c r="R369" s="108"/>
      <c r="S369" s="108"/>
      <c r="T369" s="108"/>
      <c r="U369" s="109">
        <v>-12</v>
      </c>
      <c r="V369" s="2">
        <f t="shared" si="329"/>
        <v>210</v>
      </c>
      <c r="W369" s="10"/>
      <c r="X369" s="13">
        <f t="shared" si="330"/>
        <v>-132</v>
      </c>
      <c r="Y369" s="10"/>
      <c r="Z369" s="14">
        <f t="shared" si="339"/>
        <v>80</v>
      </c>
      <c r="AA369" s="14">
        <f t="shared" ref="AA369:AA383" si="342">217-J369-K369-L369-M369-N369</f>
        <v>142</v>
      </c>
      <c r="AB369" s="2">
        <f t="shared" si="331"/>
        <v>222</v>
      </c>
      <c r="AC369" s="2">
        <f t="shared" si="332"/>
        <v>354</v>
      </c>
      <c r="AE369" s="9" t="s">
        <v>26</v>
      </c>
      <c r="AF369" s="2"/>
      <c r="AG369" s="99">
        <f>ROUND(Load!$M$43+'2022'!$E$387*0.485/744,0)</f>
        <v>78</v>
      </c>
      <c r="AH369" s="2">
        <f t="shared" si="333"/>
        <v>78</v>
      </c>
      <c r="AI369" s="9" t="s">
        <v>26</v>
      </c>
      <c r="AJ369" s="2">
        <f>'Hoover with 30 MW Solar'!$K$39</f>
        <v>29</v>
      </c>
      <c r="AK369" s="2">
        <v>35</v>
      </c>
      <c r="AL369" s="2">
        <v>40</v>
      </c>
      <c r="AM369" s="77">
        <v>50</v>
      </c>
      <c r="AN369" s="78">
        <v>50</v>
      </c>
      <c r="AO369" s="78">
        <v>50</v>
      </c>
      <c r="AP369" s="78">
        <v>25</v>
      </c>
      <c r="AQ369" s="78">
        <v>55</v>
      </c>
      <c r="AR369" s="78"/>
      <c r="AS369" s="78"/>
      <c r="AT369" s="108"/>
      <c r="AU369" s="108"/>
      <c r="AV369" s="108"/>
      <c r="AW369" s="108"/>
      <c r="AX369" s="108"/>
      <c r="AY369" s="109">
        <v>-12</v>
      </c>
      <c r="AZ369" s="2">
        <f t="shared" si="334"/>
        <v>322</v>
      </c>
      <c r="BA369" s="10"/>
      <c r="BB369" s="13">
        <f t="shared" si="335"/>
        <v>-244</v>
      </c>
      <c r="BC369" s="10"/>
      <c r="BD369" s="14">
        <f t="shared" si="336"/>
        <v>73</v>
      </c>
      <c r="BE369" s="14">
        <f t="shared" si="341"/>
        <v>162</v>
      </c>
      <c r="BF369" s="2">
        <f t="shared" si="337"/>
        <v>235</v>
      </c>
      <c r="BG369" s="2">
        <f t="shared" si="338"/>
        <v>479</v>
      </c>
      <c r="BH369" s="92"/>
      <c r="BI369" s="92"/>
    </row>
    <row r="370" spans="1:61" x14ac:dyDescent="0.3">
      <c r="A370" s="9" t="s">
        <v>27</v>
      </c>
      <c r="B370" s="2"/>
      <c r="C370" s="99">
        <f>ROUND(Load!$M$43+'2022'!$E$387*0.485/744,0)</f>
        <v>78</v>
      </c>
      <c r="D370" s="2">
        <f t="shared" si="328"/>
        <v>78</v>
      </c>
      <c r="E370" s="9" t="s">
        <v>27</v>
      </c>
      <c r="F370" s="2">
        <f>'Hoover with 30 MW Solar'!$K$39</f>
        <v>29</v>
      </c>
      <c r="G370" s="2">
        <v>35</v>
      </c>
      <c r="H370" s="2"/>
      <c r="I370" s="77">
        <v>50</v>
      </c>
      <c r="J370" s="78"/>
      <c r="K370" s="78"/>
      <c r="L370" s="78">
        <v>50</v>
      </c>
      <c r="M370" s="78">
        <v>25</v>
      </c>
      <c r="N370" s="78"/>
      <c r="O370" s="78"/>
      <c r="P370" s="108"/>
      <c r="Q370" s="108"/>
      <c r="R370" s="108"/>
      <c r="S370" s="108"/>
      <c r="T370" s="108"/>
      <c r="U370" s="109">
        <v>-12</v>
      </c>
      <c r="V370" s="2">
        <f t="shared" si="329"/>
        <v>177</v>
      </c>
      <c r="W370" s="10"/>
      <c r="X370" s="13">
        <f t="shared" si="330"/>
        <v>-99</v>
      </c>
      <c r="Y370" s="10"/>
      <c r="Z370" s="14">
        <f t="shared" si="339"/>
        <v>113</v>
      </c>
      <c r="AA370" s="14">
        <f t="shared" si="342"/>
        <v>142</v>
      </c>
      <c r="AB370" s="2">
        <f t="shared" si="331"/>
        <v>255</v>
      </c>
      <c r="AC370" s="2">
        <f t="shared" si="332"/>
        <v>354</v>
      </c>
      <c r="AE370" s="9" t="s">
        <v>27</v>
      </c>
      <c r="AF370" s="2"/>
      <c r="AG370" s="99">
        <f>ROUND(Load!$M$43+'2022'!$E$387*0.485/744,0)</f>
        <v>78</v>
      </c>
      <c r="AH370" s="2">
        <f t="shared" si="333"/>
        <v>78</v>
      </c>
      <c r="AI370" s="9" t="s">
        <v>27</v>
      </c>
      <c r="AJ370" s="2">
        <f>'Hoover with 30 MW Solar'!$K$39</f>
        <v>29</v>
      </c>
      <c r="AK370" s="2">
        <v>35</v>
      </c>
      <c r="AL370" s="2"/>
      <c r="AM370" s="77">
        <v>50</v>
      </c>
      <c r="AN370" s="78">
        <v>50</v>
      </c>
      <c r="AO370" s="78">
        <v>50</v>
      </c>
      <c r="AP370" s="78">
        <v>25</v>
      </c>
      <c r="AQ370" s="78">
        <v>55</v>
      </c>
      <c r="AR370" s="78"/>
      <c r="AS370" s="78"/>
      <c r="AT370" s="108"/>
      <c r="AU370" s="108"/>
      <c r="AV370" s="108"/>
      <c r="AW370" s="108"/>
      <c r="AX370" s="108"/>
      <c r="AY370" s="109">
        <v>-12</v>
      </c>
      <c r="AZ370" s="2">
        <f t="shared" si="334"/>
        <v>282</v>
      </c>
      <c r="BA370" s="10"/>
      <c r="BB370" s="13">
        <f t="shared" si="335"/>
        <v>-204</v>
      </c>
      <c r="BC370" s="10"/>
      <c r="BD370" s="14">
        <f t="shared" si="336"/>
        <v>113</v>
      </c>
      <c r="BE370" s="14">
        <f t="shared" si="341"/>
        <v>162</v>
      </c>
      <c r="BF370" s="2">
        <f t="shared" si="337"/>
        <v>275</v>
      </c>
      <c r="BG370" s="2">
        <f t="shared" si="338"/>
        <v>479</v>
      </c>
      <c r="BH370" s="92"/>
      <c r="BI370" s="92"/>
    </row>
    <row r="371" spans="1:61" x14ac:dyDescent="0.3">
      <c r="A371" s="9" t="s">
        <v>28</v>
      </c>
      <c r="B371" s="314">
        <v>289</v>
      </c>
      <c r="C371" s="99">
        <f>ROUND(Load!$M$43+'2022'!$E$387*0.485/744,0)</f>
        <v>78</v>
      </c>
      <c r="D371" s="2">
        <f t="shared" si="328"/>
        <v>367</v>
      </c>
      <c r="E371" s="9" t="s">
        <v>28</v>
      </c>
      <c r="F371" s="2">
        <f>'Hoover with 30 MW Solar'!$K$39</f>
        <v>29</v>
      </c>
      <c r="G371" s="2">
        <v>35</v>
      </c>
      <c r="H371" s="2"/>
      <c r="I371" s="77">
        <v>50</v>
      </c>
      <c r="J371" s="78"/>
      <c r="K371" s="78"/>
      <c r="L371" s="78">
        <v>50</v>
      </c>
      <c r="M371" s="78">
        <v>25</v>
      </c>
      <c r="N371" s="78"/>
      <c r="O371" s="78"/>
      <c r="P371" s="108"/>
      <c r="Q371" s="108"/>
      <c r="R371" s="108"/>
      <c r="S371" s="108"/>
      <c r="T371" s="108"/>
      <c r="U371" s="109">
        <v>-12</v>
      </c>
      <c r="V371" s="2">
        <f t="shared" si="329"/>
        <v>177</v>
      </c>
      <c r="W371" s="10"/>
      <c r="X371" s="13">
        <f t="shared" si="330"/>
        <v>190</v>
      </c>
      <c r="Y371" s="10"/>
      <c r="Z371" s="14">
        <f t="shared" si="339"/>
        <v>113</v>
      </c>
      <c r="AA371" s="14">
        <f t="shared" si="342"/>
        <v>142</v>
      </c>
      <c r="AB371" s="2">
        <f t="shared" si="331"/>
        <v>255</v>
      </c>
      <c r="AC371" s="2">
        <f t="shared" si="332"/>
        <v>65</v>
      </c>
      <c r="AE371" s="9" t="s">
        <v>28</v>
      </c>
      <c r="AF371" s="2">
        <v>289</v>
      </c>
      <c r="AG371" s="99">
        <f>ROUND(Load!$M$43+'2022'!$E$387*0.485/744,0)</f>
        <v>78</v>
      </c>
      <c r="AH371" s="2">
        <f t="shared" si="333"/>
        <v>367</v>
      </c>
      <c r="AI371" s="9" t="s">
        <v>28</v>
      </c>
      <c r="AJ371" s="2">
        <f>'Hoover with 30 MW Solar'!$K$39</f>
        <v>29</v>
      </c>
      <c r="AK371" s="2">
        <v>35</v>
      </c>
      <c r="AL371" s="2"/>
      <c r="AM371" s="77">
        <v>50</v>
      </c>
      <c r="AN371" s="78">
        <v>50</v>
      </c>
      <c r="AO371" s="78">
        <v>50</v>
      </c>
      <c r="AP371" s="78">
        <v>25</v>
      </c>
      <c r="AQ371" s="78">
        <v>55</v>
      </c>
      <c r="AR371" s="78"/>
      <c r="AS371" s="78"/>
      <c r="AT371" s="108"/>
      <c r="AU371" s="108"/>
      <c r="AV371" s="108"/>
      <c r="AW371" s="108"/>
      <c r="AX371" s="108"/>
      <c r="AY371" s="109">
        <v>-12</v>
      </c>
      <c r="AZ371" s="2">
        <f t="shared" si="334"/>
        <v>282</v>
      </c>
      <c r="BA371" s="10"/>
      <c r="BB371" s="13">
        <f t="shared" si="335"/>
        <v>85</v>
      </c>
      <c r="BC371" s="10"/>
      <c r="BD371" s="14">
        <f t="shared" si="336"/>
        <v>113</v>
      </c>
      <c r="BE371" s="14">
        <f t="shared" si="341"/>
        <v>162</v>
      </c>
      <c r="BF371" s="2">
        <f t="shared" si="337"/>
        <v>275</v>
      </c>
      <c r="BG371" s="2">
        <f t="shared" si="338"/>
        <v>190</v>
      </c>
      <c r="BH371" s="92"/>
      <c r="BI371" s="92"/>
    </row>
    <row r="372" spans="1:61" x14ac:dyDescent="0.3">
      <c r="A372" s="9" t="s">
        <v>29</v>
      </c>
      <c r="B372" s="314">
        <v>289</v>
      </c>
      <c r="C372" s="99">
        <f>ROUND(Load!$M$43+'2022'!$E$387*0.485/744,0)</f>
        <v>78</v>
      </c>
      <c r="D372" s="2">
        <f t="shared" si="328"/>
        <v>367</v>
      </c>
      <c r="E372" s="9" t="s">
        <v>29</v>
      </c>
      <c r="F372" s="2">
        <f>'Hoover with 30 MW Solar'!$K$39</f>
        <v>29</v>
      </c>
      <c r="G372" s="2">
        <v>35</v>
      </c>
      <c r="H372" s="2"/>
      <c r="I372" s="77">
        <v>50</v>
      </c>
      <c r="J372" s="78"/>
      <c r="K372" s="78"/>
      <c r="L372" s="78">
        <v>50</v>
      </c>
      <c r="M372" s="78">
        <v>25</v>
      </c>
      <c r="N372" s="78"/>
      <c r="O372" s="78"/>
      <c r="P372" s="108"/>
      <c r="Q372" s="108"/>
      <c r="R372" s="108"/>
      <c r="S372" s="108"/>
      <c r="T372" s="108"/>
      <c r="U372" s="109">
        <v>-12</v>
      </c>
      <c r="V372" s="2">
        <f t="shared" si="329"/>
        <v>177</v>
      </c>
      <c r="W372" s="10"/>
      <c r="X372" s="13">
        <f t="shared" si="330"/>
        <v>190</v>
      </c>
      <c r="Y372" s="10"/>
      <c r="Z372" s="14">
        <f t="shared" si="339"/>
        <v>113</v>
      </c>
      <c r="AA372" s="14">
        <f t="shared" si="342"/>
        <v>142</v>
      </c>
      <c r="AB372" s="2">
        <f t="shared" si="331"/>
        <v>255</v>
      </c>
      <c r="AC372" s="2">
        <f t="shared" si="332"/>
        <v>65</v>
      </c>
      <c r="AE372" s="9" t="s">
        <v>29</v>
      </c>
      <c r="AF372" s="2">
        <v>289</v>
      </c>
      <c r="AG372" s="99">
        <f>ROUND(Load!$M$43+'2022'!$E$387*0.485/744,0)</f>
        <v>78</v>
      </c>
      <c r="AH372" s="2">
        <f t="shared" si="333"/>
        <v>367</v>
      </c>
      <c r="AI372" s="9" t="s">
        <v>29</v>
      </c>
      <c r="AJ372" s="2">
        <f>'Hoover with 30 MW Solar'!$K$39</f>
        <v>29</v>
      </c>
      <c r="AK372" s="2">
        <v>35</v>
      </c>
      <c r="AL372" s="2"/>
      <c r="AM372" s="77">
        <v>50</v>
      </c>
      <c r="AN372" s="78">
        <v>50</v>
      </c>
      <c r="AO372" s="78">
        <v>50</v>
      </c>
      <c r="AP372" s="78">
        <v>25</v>
      </c>
      <c r="AQ372" s="78">
        <v>55</v>
      </c>
      <c r="AR372" s="78"/>
      <c r="AS372" s="78"/>
      <c r="AT372" s="108"/>
      <c r="AU372" s="108"/>
      <c r="AV372" s="108"/>
      <c r="AW372" s="108"/>
      <c r="AX372" s="108"/>
      <c r="AY372" s="109">
        <v>-12</v>
      </c>
      <c r="AZ372" s="2">
        <f t="shared" si="334"/>
        <v>282</v>
      </c>
      <c r="BA372" s="10"/>
      <c r="BB372" s="13">
        <f t="shared" si="335"/>
        <v>85</v>
      </c>
      <c r="BC372" s="10"/>
      <c r="BD372" s="14">
        <f t="shared" si="336"/>
        <v>113</v>
      </c>
      <c r="BE372" s="14">
        <f t="shared" si="341"/>
        <v>162</v>
      </c>
      <c r="BF372" s="2">
        <f t="shared" si="337"/>
        <v>275</v>
      </c>
      <c r="BG372" s="2">
        <f t="shared" si="338"/>
        <v>190</v>
      </c>
      <c r="BH372" s="92"/>
      <c r="BI372" s="92"/>
    </row>
    <row r="373" spans="1:61" x14ac:dyDescent="0.3">
      <c r="A373" s="9" t="s">
        <v>30</v>
      </c>
      <c r="B373" s="314">
        <v>289</v>
      </c>
      <c r="C373" s="99">
        <f>ROUND(Load!$M$43+'2022'!$E$387*0.485/744,0)</f>
        <v>78</v>
      </c>
      <c r="D373" s="2">
        <f t="shared" si="328"/>
        <v>367</v>
      </c>
      <c r="E373" s="9" t="s">
        <v>30</v>
      </c>
      <c r="F373" s="2">
        <f>'Hoover with 30 MW Solar'!$K$39</f>
        <v>29</v>
      </c>
      <c r="G373" s="2">
        <v>35</v>
      </c>
      <c r="H373" s="2"/>
      <c r="I373" s="77">
        <v>50</v>
      </c>
      <c r="J373" s="78"/>
      <c r="K373" s="78"/>
      <c r="L373" s="78">
        <v>50</v>
      </c>
      <c r="M373" s="78">
        <v>25</v>
      </c>
      <c r="N373" s="78"/>
      <c r="O373" s="78"/>
      <c r="P373" s="108"/>
      <c r="Q373" s="108"/>
      <c r="R373" s="108"/>
      <c r="S373" s="108"/>
      <c r="T373" s="108"/>
      <c r="U373" s="109">
        <v>-12</v>
      </c>
      <c r="V373" s="2">
        <f t="shared" si="329"/>
        <v>177</v>
      </c>
      <c r="W373" s="10"/>
      <c r="X373" s="13">
        <f t="shared" si="330"/>
        <v>190</v>
      </c>
      <c r="Y373" s="10"/>
      <c r="Z373" s="14">
        <f t="shared" si="339"/>
        <v>113</v>
      </c>
      <c r="AA373" s="14">
        <f t="shared" si="342"/>
        <v>142</v>
      </c>
      <c r="AB373" s="2">
        <f t="shared" si="331"/>
        <v>255</v>
      </c>
      <c r="AC373" s="2">
        <f t="shared" si="332"/>
        <v>65</v>
      </c>
      <c r="AE373" s="9" t="s">
        <v>30</v>
      </c>
      <c r="AF373" s="2">
        <v>289</v>
      </c>
      <c r="AG373" s="99">
        <f>ROUND(Load!$M$43+'2022'!$E$387*0.485/744,0)</f>
        <v>78</v>
      </c>
      <c r="AH373" s="2">
        <f t="shared" si="333"/>
        <v>367</v>
      </c>
      <c r="AI373" s="9" t="s">
        <v>30</v>
      </c>
      <c r="AJ373" s="2">
        <f>'Hoover with 30 MW Solar'!$K$39</f>
        <v>29</v>
      </c>
      <c r="AK373" s="2">
        <v>35</v>
      </c>
      <c r="AL373" s="2"/>
      <c r="AM373" s="77">
        <v>50</v>
      </c>
      <c r="AN373" s="78">
        <v>50</v>
      </c>
      <c r="AO373" s="78">
        <v>50</v>
      </c>
      <c r="AP373" s="78">
        <v>25</v>
      </c>
      <c r="AQ373" s="78">
        <v>55</v>
      </c>
      <c r="AR373" s="78"/>
      <c r="AS373" s="78"/>
      <c r="AT373" s="108"/>
      <c r="AU373" s="108"/>
      <c r="AV373" s="108"/>
      <c r="AW373" s="108"/>
      <c r="AX373" s="108"/>
      <c r="AY373" s="109">
        <v>-12</v>
      </c>
      <c r="AZ373" s="2">
        <f t="shared" si="334"/>
        <v>282</v>
      </c>
      <c r="BA373" s="10"/>
      <c r="BB373" s="13">
        <f t="shared" si="335"/>
        <v>85</v>
      </c>
      <c r="BC373" s="10"/>
      <c r="BD373" s="14">
        <f t="shared" si="336"/>
        <v>113</v>
      </c>
      <c r="BE373" s="14">
        <f t="shared" si="341"/>
        <v>162</v>
      </c>
      <c r="BF373" s="2">
        <f t="shared" si="337"/>
        <v>275</v>
      </c>
      <c r="BG373" s="2">
        <f t="shared" si="338"/>
        <v>190</v>
      </c>
      <c r="BH373" s="92"/>
      <c r="BI373" s="92"/>
    </row>
    <row r="374" spans="1:61" x14ac:dyDescent="0.3">
      <c r="A374" s="9" t="s">
        <v>31</v>
      </c>
      <c r="B374" s="314">
        <v>289</v>
      </c>
      <c r="C374" s="99">
        <f>ROUND(Load!$M$43+'2022'!$E$387*0.485/744,0)</f>
        <v>78</v>
      </c>
      <c r="D374" s="2">
        <f t="shared" si="328"/>
        <v>367</v>
      </c>
      <c r="E374" s="9" t="s">
        <v>31</v>
      </c>
      <c r="F374" s="2">
        <f>'Hoover with 30 MW Solar'!$K$39</f>
        <v>29</v>
      </c>
      <c r="G374" s="2">
        <v>35</v>
      </c>
      <c r="H374" s="2"/>
      <c r="I374" s="77">
        <v>50</v>
      </c>
      <c r="J374" s="78"/>
      <c r="K374" s="78"/>
      <c r="L374" s="78">
        <v>50</v>
      </c>
      <c r="M374" s="78">
        <v>25</v>
      </c>
      <c r="N374" s="78"/>
      <c r="O374" s="78"/>
      <c r="P374" s="108"/>
      <c r="Q374" s="108"/>
      <c r="R374" s="108"/>
      <c r="S374" s="108"/>
      <c r="T374" s="108"/>
      <c r="U374" s="109">
        <v>-12</v>
      </c>
      <c r="V374" s="2">
        <f t="shared" si="329"/>
        <v>177</v>
      </c>
      <c r="W374" s="10"/>
      <c r="X374" s="13">
        <f t="shared" si="330"/>
        <v>190</v>
      </c>
      <c r="Y374" s="10"/>
      <c r="Z374" s="14">
        <f t="shared" si="339"/>
        <v>113</v>
      </c>
      <c r="AA374" s="14">
        <f t="shared" si="342"/>
        <v>142</v>
      </c>
      <c r="AB374" s="2">
        <f t="shared" si="331"/>
        <v>255</v>
      </c>
      <c r="AC374" s="2">
        <f t="shared" si="332"/>
        <v>65</v>
      </c>
      <c r="AE374" s="9" t="s">
        <v>31</v>
      </c>
      <c r="AF374" s="2">
        <v>289</v>
      </c>
      <c r="AG374" s="99">
        <f>ROUND(Load!$M$43+'2022'!$E$387*0.485/744,0)</f>
        <v>78</v>
      </c>
      <c r="AH374" s="2">
        <f t="shared" si="333"/>
        <v>367</v>
      </c>
      <c r="AI374" s="9" t="s">
        <v>31</v>
      </c>
      <c r="AJ374" s="2">
        <f>'Hoover with 30 MW Solar'!$K$39</f>
        <v>29</v>
      </c>
      <c r="AK374" s="2">
        <v>35</v>
      </c>
      <c r="AL374" s="2"/>
      <c r="AM374" s="77">
        <v>50</v>
      </c>
      <c r="AN374" s="78">
        <v>50</v>
      </c>
      <c r="AO374" s="78">
        <v>50</v>
      </c>
      <c r="AP374" s="78">
        <v>25</v>
      </c>
      <c r="AQ374" s="78">
        <v>55</v>
      </c>
      <c r="AR374" s="78"/>
      <c r="AS374" s="78"/>
      <c r="AT374" s="108"/>
      <c r="AU374" s="108"/>
      <c r="AV374" s="108"/>
      <c r="AW374" s="108"/>
      <c r="AX374" s="108"/>
      <c r="AY374" s="109">
        <v>-12</v>
      </c>
      <c r="AZ374" s="2">
        <f t="shared" si="334"/>
        <v>282</v>
      </c>
      <c r="BA374" s="10"/>
      <c r="BB374" s="13">
        <f t="shared" si="335"/>
        <v>85</v>
      </c>
      <c r="BC374" s="10"/>
      <c r="BD374" s="14">
        <f t="shared" si="336"/>
        <v>113</v>
      </c>
      <c r="BE374" s="14">
        <f t="shared" si="341"/>
        <v>162</v>
      </c>
      <c r="BF374" s="2">
        <f t="shared" si="337"/>
        <v>275</v>
      </c>
      <c r="BG374" s="2">
        <f t="shared" si="338"/>
        <v>190</v>
      </c>
      <c r="BH374" s="92"/>
      <c r="BI374" s="92"/>
    </row>
    <row r="375" spans="1:61" x14ac:dyDescent="0.3">
      <c r="A375" s="9" t="s">
        <v>32</v>
      </c>
      <c r="B375" s="314">
        <v>289</v>
      </c>
      <c r="C375" s="99">
        <f>ROUND(Load!$M$43+'2022'!$E$387*0.485/744,0)</f>
        <v>78</v>
      </c>
      <c r="D375" s="2">
        <f t="shared" si="328"/>
        <v>367</v>
      </c>
      <c r="E375" s="9" t="s">
        <v>32</v>
      </c>
      <c r="F375" s="2">
        <f>'Hoover with 30 MW Solar'!$K$39</f>
        <v>29</v>
      </c>
      <c r="G375" s="2">
        <v>35</v>
      </c>
      <c r="H375" s="2"/>
      <c r="I375" s="77">
        <v>50</v>
      </c>
      <c r="J375" s="78"/>
      <c r="K375" s="78"/>
      <c r="L375" s="78">
        <v>50</v>
      </c>
      <c r="M375" s="78">
        <v>25</v>
      </c>
      <c r="N375" s="78"/>
      <c r="O375" s="78"/>
      <c r="P375" s="108"/>
      <c r="Q375" s="108"/>
      <c r="R375" s="108"/>
      <c r="S375" s="108"/>
      <c r="T375" s="108"/>
      <c r="U375" s="109">
        <v>-12</v>
      </c>
      <c r="V375" s="2">
        <f t="shared" si="329"/>
        <v>177</v>
      </c>
      <c r="W375" s="10"/>
      <c r="X375" s="13">
        <f t="shared" si="330"/>
        <v>190</v>
      </c>
      <c r="Y375" s="10"/>
      <c r="Z375" s="14">
        <f>142-F375-H375</f>
        <v>113</v>
      </c>
      <c r="AA375" s="14">
        <f t="shared" si="342"/>
        <v>142</v>
      </c>
      <c r="AB375" s="2">
        <f t="shared" si="331"/>
        <v>255</v>
      </c>
      <c r="AC375" s="2">
        <f t="shared" si="332"/>
        <v>65</v>
      </c>
      <c r="AE375" s="9" t="s">
        <v>32</v>
      </c>
      <c r="AF375" s="2">
        <v>289</v>
      </c>
      <c r="AG375" s="99">
        <f>ROUND(Load!$M$43+'2022'!$E$387*0.485/744,0)</f>
        <v>78</v>
      </c>
      <c r="AH375" s="2">
        <f t="shared" si="333"/>
        <v>367</v>
      </c>
      <c r="AI375" s="9" t="s">
        <v>32</v>
      </c>
      <c r="AJ375" s="2">
        <f>'Hoover with 30 MW Solar'!$K$39</f>
        <v>29</v>
      </c>
      <c r="AK375" s="2">
        <v>35</v>
      </c>
      <c r="AL375" s="2"/>
      <c r="AM375" s="77">
        <v>50</v>
      </c>
      <c r="AN375" s="78">
        <v>50</v>
      </c>
      <c r="AO375" s="78">
        <v>50</v>
      </c>
      <c r="AP375" s="78">
        <v>25</v>
      </c>
      <c r="AQ375" s="78">
        <v>55</v>
      </c>
      <c r="AR375" s="78"/>
      <c r="AS375" s="78"/>
      <c r="AT375" s="108"/>
      <c r="AU375" s="108"/>
      <c r="AV375" s="108"/>
      <c r="AW375" s="108"/>
      <c r="AX375" s="108"/>
      <c r="AY375" s="109">
        <v>-12</v>
      </c>
      <c r="AZ375" s="2">
        <f t="shared" si="334"/>
        <v>282</v>
      </c>
      <c r="BA375" s="10"/>
      <c r="BB375" s="13">
        <f t="shared" si="335"/>
        <v>85</v>
      </c>
      <c r="BC375" s="10"/>
      <c r="BD375" s="14">
        <f t="shared" si="336"/>
        <v>113</v>
      </c>
      <c r="BE375" s="14">
        <f t="shared" si="341"/>
        <v>162</v>
      </c>
      <c r="BF375" s="2">
        <f t="shared" si="337"/>
        <v>275</v>
      </c>
      <c r="BG375" s="2">
        <f t="shared" si="338"/>
        <v>190</v>
      </c>
      <c r="BH375" s="92"/>
      <c r="BI375" s="92"/>
    </row>
    <row r="376" spans="1:61" x14ac:dyDescent="0.3">
      <c r="A376" s="9" t="s">
        <v>33</v>
      </c>
      <c r="B376" s="314">
        <v>289</v>
      </c>
      <c r="C376" s="99">
        <f>ROUND(Load!$M$43+'2022'!$E$387*0.485/744,0)</f>
        <v>78</v>
      </c>
      <c r="D376" s="2">
        <f t="shared" si="328"/>
        <v>367</v>
      </c>
      <c r="E376" s="9" t="s">
        <v>33</v>
      </c>
      <c r="F376" s="2">
        <f>'Hoover with 30 MW Solar'!$K$39</f>
        <v>29</v>
      </c>
      <c r="G376" s="2">
        <v>35</v>
      </c>
      <c r="H376" s="2"/>
      <c r="I376" s="77">
        <v>50</v>
      </c>
      <c r="J376" s="78"/>
      <c r="K376" s="78"/>
      <c r="L376" s="78">
        <v>50</v>
      </c>
      <c r="M376" s="78">
        <v>25</v>
      </c>
      <c r="N376" s="78"/>
      <c r="O376" s="78"/>
      <c r="P376" s="108"/>
      <c r="Q376" s="108"/>
      <c r="R376" s="108"/>
      <c r="S376" s="108"/>
      <c r="T376" s="108"/>
      <c r="U376" s="109">
        <v>-12</v>
      </c>
      <c r="V376" s="2">
        <f t="shared" si="329"/>
        <v>177</v>
      </c>
      <c r="W376" s="10"/>
      <c r="X376" s="13">
        <f t="shared" si="330"/>
        <v>190</v>
      </c>
      <c r="Y376" s="10"/>
      <c r="Z376" s="14">
        <f t="shared" si="339"/>
        <v>113</v>
      </c>
      <c r="AA376" s="14">
        <f t="shared" si="342"/>
        <v>142</v>
      </c>
      <c r="AB376" s="2">
        <f t="shared" si="331"/>
        <v>255</v>
      </c>
      <c r="AC376" s="2">
        <f t="shared" si="332"/>
        <v>65</v>
      </c>
      <c r="AE376" s="9" t="s">
        <v>33</v>
      </c>
      <c r="AF376" s="2">
        <v>289</v>
      </c>
      <c r="AG376" s="99">
        <f>ROUND(Load!$M$43+'2022'!$E$387*0.485/744,0)</f>
        <v>78</v>
      </c>
      <c r="AH376" s="2">
        <f t="shared" si="333"/>
        <v>367</v>
      </c>
      <c r="AI376" s="9" t="s">
        <v>33</v>
      </c>
      <c r="AJ376" s="2">
        <f>'Hoover with 30 MW Solar'!$K$39</f>
        <v>29</v>
      </c>
      <c r="AK376" s="2">
        <v>35</v>
      </c>
      <c r="AL376" s="2"/>
      <c r="AM376" s="77">
        <v>50</v>
      </c>
      <c r="AN376" s="78">
        <v>50</v>
      </c>
      <c r="AO376" s="78">
        <v>50</v>
      </c>
      <c r="AP376" s="78">
        <v>25</v>
      </c>
      <c r="AQ376" s="78">
        <v>55</v>
      </c>
      <c r="AR376" s="78"/>
      <c r="AS376" s="78"/>
      <c r="AT376" s="108"/>
      <c r="AU376" s="108"/>
      <c r="AV376" s="108"/>
      <c r="AW376" s="108"/>
      <c r="AX376" s="108"/>
      <c r="AY376" s="109">
        <v>-12</v>
      </c>
      <c r="AZ376" s="2">
        <f t="shared" si="334"/>
        <v>282</v>
      </c>
      <c r="BA376" s="10"/>
      <c r="BB376" s="13">
        <f t="shared" si="335"/>
        <v>85</v>
      </c>
      <c r="BC376" s="10"/>
      <c r="BD376" s="14">
        <f t="shared" si="336"/>
        <v>113</v>
      </c>
      <c r="BE376" s="14">
        <f t="shared" si="341"/>
        <v>162</v>
      </c>
      <c r="BF376" s="2">
        <f t="shared" si="337"/>
        <v>275</v>
      </c>
      <c r="BG376" s="2">
        <f t="shared" si="338"/>
        <v>190</v>
      </c>
      <c r="BH376" s="92"/>
      <c r="BI376" s="92"/>
    </row>
    <row r="377" spans="1:61" x14ac:dyDescent="0.3">
      <c r="A377" s="9" t="s">
        <v>34</v>
      </c>
      <c r="B377" s="314">
        <v>194</v>
      </c>
      <c r="C377" s="99">
        <f>ROUND(Load!$M$43+'2022'!$E$387*0.485/744,0)</f>
        <v>78</v>
      </c>
      <c r="D377" s="2">
        <f t="shared" si="328"/>
        <v>272</v>
      </c>
      <c r="E377" s="9" t="s">
        <v>34</v>
      </c>
      <c r="F377" s="2">
        <f>'Hoover with 30 MW Solar'!$K$39</f>
        <v>29</v>
      </c>
      <c r="G377" s="2">
        <v>35</v>
      </c>
      <c r="H377" s="2"/>
      <c r="I377" s="77">
        <v>50</v>
      </c>
      <c r="J377" s="78"/>
      <c r="K377" s="78"/>
      <c r="L377" s="78">
        <v>50</v>
      </c>
      <c r="M377" s="78">
        <v>25</v>
      </c>
      <c r="N377" s="78"/>
      <c r="O377" s="78"/>
      <c r="P377" s="108"/>
      <c r="Q377" s="108"/>
      <c r="R377" s="108"/>
      <c r="S377" s="108"/>
      <c r="T377" s="108"/>
      <c r="U377" s="109">
        <v>-12</v>
      </c>
      <c r="V377" s="2">
        <f t="shared" si="329"/>
        <v>177</v>
      </c>
      <c r="W377" s="10"/>
      <c r="X377" s="13">
        <f t="shared" si="330"/>
        <v>95</v>
      </c>
      <c r="Y377" s="10"/>
      <c r="Z377" s="14">
        <f t="shared" si="339"/>
        <v>113</v>
      </c>
      <c r="AA377" s="14">
        <f t="shared" si="342"/>
        <v>142</v>
      </c>
      <c r="AB377" s="2">
        <f t="shared" si="331"/>
        <v>255</v>
      </c>
      <c r="AC377" s="2">
        <f t="shared" si="332"/>
        <v>160</v>
      </c>
      <c r="AE377" s="9" t="s">
        <v>34</v>
      </c>
      <c r="AF377" s="2"/>
      <c r="AG377" s="99">
        <f>ROUND(Load!$M$43+'2022'!$E$387*0.485/744,0)</f>
        <v>78</v>
      </c>
      <c r="AH377" s="2">
        <f t="shared" si="333"/>
        <v>78</v>
      </c>
      <c r="AI377" s="9" t="s">
        <v>34</v>
      </c>
      <c r="AJ377" s="2">
        <f>'Hoover with 30 MW Solar'!$K$39</f>
        <v>29</v>
      </c>
      <c r="AK377" s="2">
        <v>35</v>
      </c>
      <c r="AL377" s="2"/>
      <c r="AM377" s="77">
        <v>50</v>
      </c>
      <c r="AN377" s="78">
        <v>50</v>
      </c>
      <c r="AO377" s="78">
        <v>50</v>
      </c>
      <c r="AP377" s="78">
        <v>25</v>
      </c>
      <c r="AQ377" s="78">
        <v>55</v>
      </c>
      <c r="AR377" s="78"/>
      <c r="AS377" s="78"/>
      <c r="AT377" s="108"/>
      <c r="AU377" s="108"/>
      <c r="AV377" s="108"/>
      <c r="AW377" s="108"/>
      <c r="AX377" s="108"/>
      <c r="AY377" s="109">
        <v>-12</v>
      </c>
      <c r="AZ377" s="2">
        <f t="shared" si="334"/>
        <v>282</v>
      </c>
      <c r="BA377" s="10"/>
      <c r="BB377" s="13">
        <f t="shared" si="335"/>
        <v>-204</v>
      </c>
      <c r="BC377" s="10"/>
      <c r="BD377" s="14">
        <f t="shared" si="336"/>
        <v>113</v>
      </c>
      <c r="BE377" s="14">
        <f t="shared" si="341"/>
        <v>162</v>
      </c>
      <c r="BF377" s="2">
        <f t="shared" si="337"/>
        <v>275</v>
      </c>
      <c r="BG377" s="2">
        <f t="shared" si="338"/>
        <v>479</v>
      </c>
      <c r="BH377" s="92"/>
      <c r="BI377" s="92"/>
    </row>
    <row r="378" spans="1:61" x14ac:dyDescent="0.3">
      <c r="A378" s="9" t="s">
        <v>35</v>
      </c>
      <c r="B378" s="2"/>
      <c r="C378" s="99">
        <f>ROUND(Load!$M$43+'2022'!$E$387*0.485/744,0)</f>
        <v>78</v>
      </c>
      <c r="D378" s="2">
        <f t="shared" si="328"/>
        <v>78</v>
      </c>
      <c r="E378" s="9" t="s">
        <v>35</v>
      </c>
      <c r="F378" s="2">
        <f>'Hoover with 30 MW Solar'!$K$39</f>
        <v>29</v>
      </c>
      <c r="G378" s="2">
        <v>35</v>
      </c>
      <c r="H378" s="2"/>
      <c r="I378" s="77">
        <v>50</v>
      </c>
      <c r="J378" s="78"/>
      <c r="K378" s="78"/>
      <c r="L378" s="78">
        <v>50</v>
      </c>
      <c r="M378" s="78">
        <v>25</v>
      </c>
      <c r="N378" s="78"/>
      <c r="O378" s="78"/>
      <c r="P378" s="108"/>
      <c r="Q378" s="108"/>
      <c r="R378" s="108"/>
      <c r="S378" s="108"/>
      <c r="T378" s="108"/>
      <c r="U378" s="109">
        <v>-12</v>
      </c>
      <c r="V378" s="2">
        <f t="shared" si="329"/>
        <v>177</v>
      </c>
      <c r="W378" s="10"/>
      <c r="X378" s="13">
        <f t="shared" si="330"/>
        <v>-99</v>
      </c>
      <c r="Y378" s="10"/>
      <c r="Z378" s="14">
        <f t="shared" si="339"/>
        <v>113</v>
      </c>
      <c r="AA378" s="14">
        <f t="shared" si="342"/>
        <v>142</v>
      </c>
      <c r="AB378" s="2">
        <f t="shared" si="331"/>
        <v>255</v>
      </c>
      <c r="AC378" s="2">
        <f t="shared" si="332"/>
        <v>354</v>
      </c>
      <c r="AE378" s="9" t="s">
        <v>35</v>
      </c>
      <c r="AF378" s="2"/>
      <c r="AG378" s="99">
        <f>ROUND(Load!$M$43+'2022'!$E$387*0.485/744,0)</f>
        <v>78</v>
      </c>
      <c r="AH378" s="2">
        <f t="shared" si="333"/>
        <v>78</v>
      </c>
      <c r="AI378" s="9" t="s">
        <v>35</v>
      </c>
      <c r="AJ378" s="2">
        <f>'Hoover with 30 MW Solar'!$K$39</f>
        <v>29</v>
      </c>
      <c r="AK378" s="2">
        <v>35</v>
      </c>
      <c r="AL378" s="2"/>
      <c r="AM378" s="77">
        <v>50</v>
      </c>
      <c r="AN378" s="78">
        <v>50</v>
      </c>
      <c r="AO378" s="78">
        <v>50</v>
      </c>
      <c r="AP378" s="78">
        <v>25</v>
      </c>
      <c r="AQ378" s="78">
        <v>55</v>
      </c>
      <c r="AR378" s="78"/>
      <c r="AS378" s="78"/>
      <c r="AT378" s="108"/>
      <c r="AU378" s="108"/>
      <c r="AV378" s="108"/>
      <c r="AW378" s="108"/>
      <c r="AX378" s="108"/>
      <c r="AY378" s="109">
        <v>-12</v>
      </c>
      <c r="AZ378" s="2">
        <f t="shared" si="334"/>
        <v>282</v>
      </c>
      <c r="BA378" s="10"/>
      <c r="BB378" s="13">
        <f t="shared" si="335"/>
        <v>-204</v>
      </c>
      <c r="BC378" s="10"/>
      <c r="BD378" s="14">
        <f t="shared" si="336"/>
        <v>113</v>
      </c>
      <c r="BE378" s="14">
        <f t="shared" si="341"/>
        <v>162</v>
      </c>
      <c r="BF378" s="2">
        <f t="shared" si="337"/>
        <v>275</v>
      </c>
      <c r="BG378" s="2">
        <f t="shared" si="338"/>
        <v>479</v>
      </c>
      <c r="BH378" s="92"/>
      <c r="BI378" s="92"/>
    </row>
    <row r="379" spans="1:61" x14ac:dyDescent="0.3">
      <c r="A379" s="9" t="s">
        <v>36</v>
      </c>
      <c r="B379" s="2"/>
      <c r="C379" s="99">
        <f>ROUND(Load!$M$43+'2022'!$E$387*0.485/744,0)</f>
        <v>78</v>
      </c>
      <c r="D379" s="2">
        <f t="shared" si="328"/>
        <v>78</v>
      </c>
      <c r="E379" s="9" t="s">
        <v>36</v>
      </c>
      <c r="F379" s="2">
        <f>'Hoover with 30 MW Solar'!$K$39</f>
        <v>29</v>
      </c>
      <c r="G379" s="2">
        <v>35</v>
      </c>
      <c r="H379" s="2">
        <v>50</v>
      </c>
      <c r="I379" s="77">
        <v>50</v>
      </c>
      <c r="J379" s="78"/>
      <c r="K379" s="78"/>
      <c r="L379" s="78">
        <v>50</v>
      </c>
      <c r="M379" s="78">
        <v>25</v>
      </c>
      <c r="N379" s="78"/>
      <c r="O379" s="78"/>
      <c r="P379" s="108"/>
      <c r="Q379" s="108"/>
      <c r="R379" s="108"/>
      <c r="S379" s="108"/>
      <c r="T379" s="108"/>
      <c r="U379" s="109">
        <v>-12</v>
      </c>
      <c r="V379" s="2">
        <f t="shared" si="329"/>
        <v>227</v>
      </c>
      <c r="W379" s="10"/>
      <c r="X379" s="13">
        <f t="shared" si="330"/>
        <v>-149</v>
      </c>
      <c r="Y379" s="10"/>
      <c r="Z379" s="14">
        <f t="shared" si="339"/>
        <v>63</v>
      </c>
      <c r="AA379" s="14">
        <f t="shared" si="342"/>
        <v>142</v>
      </c>
      <c r="AB379" s="2">
        <f t="shared" si="331"/>
        <v>205</v>
      </c>
      <c r="AC379" s="2">
        <f t="shared" si="332"/>
        <v>354</v>
      </c>
      <c r="AE379" s="9" t="s">
        <v>36</v>
      </c>
      <c r="AF379" s="2"/>
      <c r="AG379" s="99">
        <f>ROUND(Load!$M$43+'2022'!$E$387*0.485/744,0)</f>
        <v>78</v>
      </c>
      <c r="AH379" s="2">
        <f t="shared" si="333"/>
        <v>78</v>
      </c>
      <c r="AI379" s="9" t="s">
        <v>36</v>
      </c>
      <c r="AJ379" s="2">
        <f>'Hoover with 30 MW Solar'!$K$39</f>
        <v>29</v>
      </c>
      <c r="AK379" s="2">
        <v>35</v>
      </c>
      <c r="AL379" s="2">
        <v>47</v>
      </c>
      <c r="AM379" s="77">
        <v>50</v>
      </c>
      <c r="AN379" s="78">
        <v>50</v>
      </c>
      <c r="AO379" s="78">
        <v>50</v>
      </c>
      <c r="AP379" s="78">
        <v>25</v>
      </c>
      <c r="AQ379" s="78">
        <v>55</v>
      </c>
      <c r="AR379" s="78"/>
      <c r="AS379" s="78"/>
      <c r="AT379" s="108"/>
      <c r="AU379" s="108"/>
      <c r="AV379" s="108"/>
      <c r="AW379" s="108"/>
      <c r="AX379" s="108"/>
      <c r="AY379" s="109">
        <v>-12</v>
      </c>
      <c r="AZ379" s="2">
        <f t="shared" si="334"/>
        <v>329</v>
      </c>
      <c r="BA379" s="10"/>
      <c r="BB379" s="13">
        <f t="shared" si="335"/>
        <v>-251</v>
      </c>
      <c r="BC379" s="10"/>
      <c r="BD379" s="14">
        <f t="shared" si="336"/>
        <v>66</v>
      </c>
      <c r="BE379" s="14">
        <f t="shared" si="341"/>
        <v>162</v>
      </c>
      <c r="BF379" s="2">
        <f t="shared" si="337"/>
        <v>228</v>
      </c>
      <c r="BG379" s="2">
        <f t="shared" si="338"/>
        <v>479</v>
      </c>
      <c r="BH379" s="92"/>
      <c r="BI379" s="92"/>
    </row>
    <row r="380" spans="1:61" x14ac:dyDescent="0.3">
      <c r="A380" s="9" t="s">
        <v>37</v>
      </c>
      <c r="B380" s="2"/>
      <c r="C380" s="99">
        <f>ROUND(Load!$M$43+'2022'!$E$387*0.485/744,0)</f>
        <v>78</v>
      </c>
      <c r="D380" s="2">
        <f t="shared" si="328"/>
        <v>78</v>
      </c>
      <c r="E380" s="9" t="s">
        <v>37</v>
      </c>
      <c r="F380" s="2">
        <f>'Hoover with 30 MW Solar'!$K$39</f>
        <v>29</v>
      </c>
      <c r="G380" s="2">
        <v>35</v>
      </c>
      <c r="H380" s="2">
        <v>50</v>
      </c>
      <c r="I380" s="77">
        <v>50</v>
      </c>
      <c r="J380" s="78"/>
      <c r="K380" s="78"/>
      <c r="L380" s="78">
        <v>50</v>
      </c>
      <c r="M380" s="78">
        <v>25</v>
      </c>
      <c r="N380" s="78"/>
      <c r="O380" s="78"/>
      <c r="P380" s="108"/>
      <c r="Q380" s="108"/>
      <c r="R380" s="108"/>
      <c r="S380" s="108"/>
      <c r="T380" s="108"/>
      <c r="U380" s="109">
        <v>-12</v>
      </c>
      <c r="V380" s="2">
        <f t="shared" si="329"/>
        <v>227</v>
      </c>
      <c r="W380" s="10"/>
      <c r="X380" s="13">
        <f t="shared" si="330"/>
        <v>-149</v>
      </c>
      <c r="Y380" s="10"/>
      <c r="Z380" s="14">
        <f t="shared" si="339"/>
        <v>63</v>
      </c>
      <c r="AA380" s="14">
        <f t="shared" si="342"/>
        <v>142</v>
      </c>
      <c r="AB380" s="2">
        <f t="shared" si="331"/>
        <v>205</v>
      </c>
      <c r="AC380" s="2">
        <f t="shared" si="332"/>
        <v>354</v>
      </c>
      <c r="AE380" s="9" t="s">
        <v>37</v>
      </c>
      <c r="AF380" s="2"/>
      <c r="AG380" s="99">
        <f>ROUND(Load!$M$43+'2022'!$E$387*0.485/744,0)</f>
        <v>78</v>
      </c>
      <c r="AH380" s="2">
        <f t="shared" si="333"/>
        <v>78</v>
      </c>
      <c r="AI380" s="9" t="s">
        <v>37</v>
      </c>
      <c r="AJ380" s="2">
        <f>'Hoover with 30 MW Solar'!$K$39</f>
        <v>29</v>
      </c>
      <c r="AK380" s="2">
        <v>35</v>
      </c>
      <c r="AL380" s="2">
        <v>48</v>
      </c>
      <c r="AM380" s="77">
        <v>50</v>
      </c>
      <c r="AN380" s="78">
        <v>50</v>
      </c>
      <c r="AO380" s="78">
        <v>50</v>
      </c>
      <c r="AP380" s="78">
        <v>25</v>
      </c>
      <c r="AQ380" s="78">
        <v>55</v>
      </c>
      <c r="AR380" s="78"/>
      <c r="AS380" s="78"/>
      <c r="AT380" s="108"/>
      <c r="AU380" s="108"/>
      <c r="AV380" s="108"/>
      <c r="AW380" s="108"/>
      <c r="AX380" s="108"/>
      <c r="AY380" s="109">
        <v>-12</v>
      </c>
      <c r="AZ380" s="2">
        <f t="shared" si="334"/>
        <v>330</v>
      </c>
      <c r="BA380" s="10"/>
      <c r="BB380" s="13">
        <f t="shared" si="335"/>
        <v>-252</v>
      </c>
      <c r="BC380" s="10"/>
      <c r="BD380" s="14">
        <f t="shared" si="336"/>
        <v>65</v>
      </c>
      <c r="BE380" s="14">
        <f t="shared" si="341"/>
        <v>162</v>
      </c>
      <c r="BF380" s="2">
        <f t="shared" si="337"/>
        <v>227</v>
      </c>
      <c r="BG380" s="2">
        <f t="shared" si="338"/>
        <v>479</v>
      </c>
      <c r="BH380" s="92"/>
      <c r="BI380" s="92"/>
    </row>
    <row r="381" spans="1:61" x14ac:dyDescent="0.3">
      <c r="A381" s="9" t="s">
        <v>38</v>
      </c>
      <c r="B381" s="2"/>
      <c r="C381" s="99">
        <f>ROUND(Load!$M$43+'2022'!$E$387*0.485/744,0)</f>
        <v>78</v>
      </c>
      <c r="D381" s="2">
        <f t="shared" si="328"/>
        <v>78</v>
      </c>
      <c r="E381" s="9" t="s">
        <v>38</v>
      </c>
      <c r="F381" s="2">
        <f>'Hoover with 30 MW Solar'!$K$39</f>
        <v>29</v>
      </c>
      <c r="G381" s="2">
        <v>35</v>
      </c>
      <c r="H381" s="2">
        <v>50</v>
      </c>
      <c r="I381" s="77">
        <v>50</v>
      </c>
      <c r="J381" s="78"/>
      <c r="K381" s="78"/>
      <c r="L381" s="78">
        <v>50</v>
      </c>
      <c r="M381" s="78">
        <v>25</v>
      </c>
      <c r="N381" s="78"/>
      <c r="O381" s="78"/>
      <c r="P381" s="108"/>
      <c r="Q381" s="108"/>
      <c r="R381" s="108"/>
      <c r="S381" s="108"/>
      <c r="T381" s="108"/>
      <c r="U381" s="109">
        <v>-12</v>
      </c>
      <c r="V381" s="2">
        <f t="shared" si="329"/>
        <v>227</v>
      </c>
      <c r="W381" s="10"/>
      <c r="X381" s="13">
        <f t="shared" si="330"/>
        <v>-149</v>
      </c>
      <c r="Y381" s="10"/>
      <c r="Z381" s="14">
        <f t="shared" si="339"/>
        <v>63</v>
      </c>
      <c r="AA381" s="14">
        <f t="shared" si="342"/>
        <v>142</v>
      </c>
      <c r="AB381" s="2">
        <f t="shared" si="331"/>
        <v>205</v>
      </c>
      <c r="AC381" s="2">
        <f t="shared" si="332"/>
        <v>354</v>
      </c>
      <c r="AE381" s="9" t="s">
        <v>38</v>
      </c>
      <c r="AF381" s="2"/>
      <c r="AG381" s="99">
        <f>ROUND(Load!$M$43+'2022'!$E$387*0.485/744,0)</f>
        <v>78</v>
      </c>
      <c r="AH381" s="2">
        <f t="shared" si="333"/>
        <v>78</v>
      </c>
      <c r="AI381" s="9" t="s">
        <v>38</v>
      </c>
      <c r="AJ381" s="2">
        <f>'Hoover with 30 MW Solar'!$K$39</f>
        <v>29</v>
      </c>
      <c r="AK381" s="2">
        <v>35</v>
      </c>
      <c r="AL381" s="2">
        <v>48</v>
      </c>
      <c r="AM381" s="77">
        <v>50</v>
      </c>
      <c r="AN381" s="78">
        <v>50</v>
      </c>
      <c r="AO381" s="78">
        <v>50</v>
      </c>
      <c r="AP381" s="78">
        <v>25</v>
      </c>
      <c r="AQ381" s="78">
        <v>55</v>
      </c>
      <c r="AR381" s="78"/>
      <c r="AS381" s="78"/>
      <c r="AT381" s="108"/>
      <c r="AU381" s="108"/>
      <c r="AV381" s="108"/>
      <c r="AW381" s="108"/>
      <c r="AX381" s="108"/>
      <c r="AY381" s="109">
        <v>-12</v>
      </c>
      <c r="AZ381" s="2">
        <f t="shared" si="334"/>
        <v>330</v>
      </c>
      <c r="BA381" s="10"/>
      <c r="BB381" s="13">
        <f t="shared" si="335"/>
        <v>-252</v>
      </c>
      <c r="BC381" s="10"/>
      <c r="BD381" s="14">
        <f t="shared" si="336"/>
        <v>65</v>
      </c>
      <c r="BE381" s="14">
        <f t="shared" si="341"/>
        <v>162</v>
      </c>
      <c r="BF381" s="2">
        <f t="shared" si="337"/>
        <v>227</v>
      </c>
      <c r="BG381" s="2">
        <f t="shared" si="338"/>
        <v>479</v>
      </c>
      <c r="BH381" s="92"/>
      <c r="BI381" s="92"/>
    </row>
    <row r="382" spans="1:61" x14ac:dyDescent="0.3">
      <c r="A382" s="9" t="s">
        <v>39</v>
      </c>
      <c r="B382" s="2"/>
      <c r="C382" s="99">
        <f>ROUND(Load!$M$43+'2022'!$E$387*0.485/744,0)</f>
        <v>78</v>
      </c>
      <c r="D382" s="2">
        <f t="shared" si="328"/>
        <v>78</v>
      </c>
      <c r="E382" s="9" t="s">
        <v>39</v>
      </c>
      <c r="F382" s="2">
        <f>'Hoover with 30 MW Solar'!$K$39</f>
        <v>29</v>
      </c>
      <c r="G382" s="2">
        <v>35</v>
      </c>
      <c r="H382" s="2">
        <v>50</v>
      </c>
      <c r="I382" s="77">
        <v>50</v>
      </c>
      <c r="J382" s="78"/>
      <c r="K382" s="78"/>
      <c r="L382" s="78">
        <v>50</v>
      </c>
      <c r="M382" s="78">
        <v>25</v>
      </c>
      <c r="N382" s="78"/>
      <c r="O382" s="78"/>
      <c r="P382" s="108"/>
      <c r="Q382" s="108"/>
      <c r="R382" s="108"/>
      <c r="S382" s="108"/>
      <c r="T382" s="108"/>
      <c r="U382" s="109">
        <v>-12</v>
      </c>
      <c r="V382" s="2">
        <f t="shared" si="329"/>
        <v>227</v>
      </c>
      <c r="W382" s="10"/>
      <c r="X382" s="13">
        <f t="shared" si="330"/>
        <v>-149</v>
      </c>
      <c r="Y382" s="10"/>
      <c r="Z382" s="14">
        <f t="shared" si="339"/>
        <v>63</v>
      </c>
      <c r="AA382" s="14">
        <f t="shared" si="342"/>
        <v>142</v>
      </c>
      <c r="AB382" s="2">
        <f t="shared" si="331"/>
        <v>205</v>
      </c>
      <c r="AC382" s="2">
        <f t="shared" si="332"/>
        <v>354</v>
      </c>
      <c r="AE382" s="9" t="s">
        <v>39</v>
      </c>
      <c r="AF382" s="2"/>
      <c r="AG382" s="99">
        <f>ROUND(Load!$M$43+'2022'!$E$387*0.485/744,0)</f>
        <v>78</v>
      </c>
      <c r="AH382" s="2">
        <f t="shared" si="333"/>
        <v>78</v>
      </c>
      <c r="AI382" s="9" t="s">
        <v>39</v>
      </c>
      <c r="AJ382" s="2">
        <f>'Hoover with 30 MW Solar'!$K$39</f>
        <v>29</v>
      </c>
      <c r="AK382" s="2">
        <v>35</v>
      </c>
      <c r="AL382" s="2">
        <v>47</v>
      </c>
      <c r="AM382" s="77">
        <v>50</v>
      </c>
      <c r="AN382" s="78">
        <v>50</v>
      </c>
      <c r="AO382" s="78">
        <v>50</v>
      </c>
      <c r="AP382" s="78">
        <v>25</v>
      </c>
      <c r="AQ382" s="78">
        <v>55</v>
      </c>
      <c r="AR382" s="78"/>
      <c r="AS382" s="78"/>
      <c r="AT382" s="108"/>
      <c r="AU382" s="108"/>
      <c r="AV382" s="108"/>
      <c r="AW382" s="108"/>
      <c r="AX382" s="108"/>
      <c r="AY382" s="109">
        <v>-12</v>
      </c>
      <c r="AZ382" s="2">
        <f t="shared" si="334"/>
        <v>329</v>
      </c>
      <c r="BA382" s="10"/>
      <c r="BB382" s="13">
        <f t="shared" si="335"/>
        <v>-251</v>
      </c>
      <c r="BC382" s="10"/>
      <c r="BD382" s="14">
        <f t="shared" si="336"/>
        <v>66</v>
      </c>
      <c r="BE382" s="14">
        <f t="shared" si="341"/>
        <v>162</v>
      </c>
      <c r="BF382" s="2">
        <f t="shared" si="337"/>
        <v>228</v>
      </c>
      <c r="BG382" s="2">
        <f t="shared" si="338"/>
        <v>479</v>
      </c>
      <c r="BH382" s="92"/>
      <c r="BI382" s="92"/>
    </row>
    <row r="383" spans="1:61" x14ac:dyDescent="0.3">
      <c r="A383" s="9" t="s">
        <v>40</v>
      </c>
      <c r="B383" s="2"/>
      <c r="C383" s="99">
        <f>ROUND(Load!$M$43+'2022'!$E$387*0.485/744,0)</f>
        <v>78</v>
      </c>
      <c r="D383" s="2">
        <f t="shared" si="328"/>
        <v>78</v>
      </c>
      <c r="E383" s="9" t="s">
        <v>40</v>
      </c>
      <c r="F383" s="2">
        <f>'Hoover with 30 MW Solar'!$K$39</f>
        <v>29</v>
      </c>
      <c r="G383" s="2">
        <v>35</v>
      </c>
      <c r="H383" s="2">
        <v>50</v>
      </c>
      <c r="I383" s="77">
        <v>50</v>
      </c>
      <c r="J383" s="78"/>
      <c r="K383" s="78"/>
      <c r="L383" s="78">
        <v>50</v>
      </c>
      <c r="M383" s="78">
        <v>25</v>
      </c>
      <c r="N383" s="78"/>
      <c r="O383" s="78"/>
      <c r="P383" s="108"/>
      <c r="Q383" s="108"/>
      <c r="R383" s="108"/>
      <c r="S383" s="108"/>
      <c r="T383" s="108"/>
      <c r="U383" s="109">
        <v>-12</v>
      </c>
      <c r="V383" s="2">
        <f t="shared" si="329"/>
        <v>227</v>
      </c>
      <c r="W383" s="10"/>
      <c r="X383" s="13">
        <f t="shared" si="330"/>
        <v>-149</v>
      </c>
      <c r="Y383" s="10"/>
      <c r="Z383" s="14">
        <f t="shared" si="339"/>
        <v>63</v>
      </c>
      <c r="AA383" s="14">
        <f t="shared" si="342"/>
        <v>142</v>
      </c>
      <c r="AB383" s="2">
        <f t="shared" si="331"/>
        <v>205</v>
      </c>
      <c r="AC383" s="2">
        <f t="shared" si="332"/>
        <v>354</v>
      </c>
      <c r="AE383" s="9" t="s">
        <v>40</v>
      </c>
      <c r="AF383" s="2"/>
      <c r="AG383" s="99">
        <f>ROUND(Load!$M$43+'2022'!$E$387*0.485/744,0)</f>
        <v>78</v>
      </c>
      <c r="AH383" s="2">
        <f t="shared" si="333"/>
        <v>78</v>
      </c>
      <c r="AI383" s="9" t="s">
        <v>40</v>
      </c>
      <c r="AJ383" s="2">
        <f>'Hoover with 30 MW Solar'!$K$39</f>
        <v>29</v>
      </c>
      <c r="AK383" s="2">
        <v>35</v>
      </c>
      <c r="AL383" s="2">
        <v>47</v>
      </c>
      <c r="AM383" s="77">
        <v>50</v>
      </c>
      <c r="AN383" s="78">
        <v>50</v>
      </c>
      <c r="AO383" s="78">
        <v>50</v>
      </c>
      <c r="AP383" s="78">
        <v>25</v>
      </c>
      <c r="AQ383" s="78">
        <v>55</v>
      </c>
      <c r="AR383" s="78"/>
      <c r="AS383" s="78"/>
      <c r="AT383" s="108"/>
      <c r="AU383" s="108"/>
      <c r="AV383" s="108"/>
      <c r="AW383" s="108"/>
      <c r="AX383" s="108"/>
      <c r="AY383" s="109">
        <v>-12</v>
      </c>
      <c r="AZ383" s="2">
        <f t="shared" si="334"/>
        <v>329</v>
      </c>
      <c r="BA383" s="10"/>
      <c r="BB383" s="13">
        <f t="shared" si="335"/>
        <v>-251</v>
      </c>
      <c r="BC383" s="10"/>
      <c r="BD383" s="14">
        <f t="shared" si="336"/>
        <v>66</v>
      </c>
      <c r="BE383" s="14">
        <f t="shared" si="341"/>
        <v>162</v>
      </c>
      <c r="BF383" s="2">
        <f t="shared" si="337"/>
        <v>228</v>
      </c>
      <c r="BG383" s="2">
        <f t="shared" si="338"/>
        <v>479</v>
      </c>
      <c r="BH383" s="92"/>
      <c r="BI383" s="92"/>
    </row>
    <row r="384" spans="1:61" x14ac:dyDescent="0.3">
      <c r="A384" s="9" t="s">
        <v>41</v>
      </c>
      <c r="B384" s="2">
        <v>49</v>
      </c>
      <c r="C384" s="99">
        <f>ROUND(Load!$M$43+'2022'!$E$387*0.485/744,0)</f>
        <v>78</v>
      </c>
      <c r="D384" s="2">
        <f t="shared" si="328"/>
        <v>127</v>
      </c>
      <c r="E384" s="9" t="s">
        <v>41</v>
      </c>
      <c r="F384" s="2"/>
      <c r="G384" s="2">
        <v>35</v>
      </c>
      <c r="H384" s="2"/>
      <c r="I384" s="77"/>
      <c r="J384" s="78">
        <v>50</v>
      </c>
      <c r="K384" s="78">
        <v>50</v>
      </c>
      <c r="L384" s="78"/>
      <c r="M384" s="78">
        <v>25</v>
      </c>
      <c r="N384" s="78">
        <v>55</v>
      </c>
      <c r="O384" s="78"/>
      <c r="P384" s="108"/>
      <c r="Q384" s="108"/>
      <c r="R384" s="108"/>
      <c r="S384" s="108"/>
      <c r="T384" s="108"/>
      <c r="U384" s="109"/>
      <c r="V384" s="2">
        <f t="shared" si="329"/>
        <v>215</v>
      </c>
      <c r="W384" s="10"/>
      <c r="X384" s="11">
        <f t="shared" si="330"/>
        <v>-88</v>
      </c>
      <c r="Y384" s="10"/>
      <c r="Z384" s="12">
        <f t="shared" si="339"/>
        <v>142</v>
      </c>
      <c r="AA384" s="12">
        <f t="shared" ref="AA384:AA385" si="343">342-J384-K384-L384-M384-N384</f>
        <v>162</v>
      </c>
      <c r="AB384" s="2">
        <f t="shared" si="331"/>
        <v>304</v>
      </c>
      <c r="AC384" s="2">
        <f t="shared" si="332"/>
        <v>392</v>
      </c>
      <c r="AE384" s="9" t="s">
        <v>41</v>
      </c>
      <c r="AF384" s="2">
        <v>98</v>
      </c>
      <c r="AG384" s="99">
        <f>ROUND(Load!$M$43+'2022'!$E$387*0.485/744,0)</f>
        <v>78</v>
      </c>
      <c r="AH384" s="2">
        <f t="shared" si="333"/>
        <v>176</v>
      </c>
      <c r="AI384" s="9" t="s">
        <v>41</v>
      </c>
      <c r="AJ384" s="2"/>
      <c r="AK384" s="2">
        <v>35</v>
      </c>
      <c r="AL384" s="2"/>
      <c r="AM384" s="77"/>
      <c r="AN384" s="78">
        <v>50</v>
      </c>
      <c r="AO384" s="78">
        <v>50</v>
      </c>
      <c r="AP384" s="78">
        <v>25</v>
      </c>
      <c r="AQ384" s="78">
        <v>55</v>
      </c>
      <c r="AR384" s="78"/>
      <c r="AS384" s="78"/>
      <c r="AT384" s="108"/>
      <c r="AU384" s="108"/>
      <c r="AV384" s="108"/>
      <c r="AW384" s="108"/>
      <c r="AX384" s="108"/>
      <c r="AY384" s="109"/>
      <c r="AZ384" s="2">
        <f t="shared" si="334"/>
        <v>215</v>
      </c>
      <c r="BA384" s="10"/>
      <c r="BB384" s="11">
        <f t="shared" si="335"/>
        <v>-39</v>
      </c>
      <c r="BC384" s="10"/>
      <c r="BD384" s="12">
        <f t="shared" si="336"/>
        <v>142</v>
      </c>
      <c r="BE384" s="12">
        <f t="shared" si="341"/>
        <v>162</v>
      </c>
      <c r="BF384" s="2">
        <f t="shared" si="337"/>
        <v>304</v>
      </c>
      <c r="BG384" s="2">
        <f t="shared" si="338"/>
        <v>343</v>
      </c>
      <c r="BH384" s="92"/>
      <c r="BI384" s="92"/>
    </row>
    <row r="385" spans="1:61" ht="15" thickBot="1" x14ac:dyDescent="0.35">
      <c r="A385" s="15" t="s">
        <v>42</v>
      </c>
      <c r="B385" s="16">
        <v>49</v>
      </c>
      <c r="C385" s="123">
        <f>ROUND(Load!$M$43+'2022'!$E$387*0.485/744,0)</f>
        <v>78</v>
      </c>
      <c r="D385" s="16">
        <f t="shared" si="328"/>
        <v>127</v>
      </c>
      <c r="E385" s="15" t="s">
        <v>42</v>
      </c>
      <c r="F385" s="16"/>
      <c r="G385" s="16">
        <v>35</v>
      </c>
      <c r="H385" s="16"/>
      <c r="I385" s="75"/>
      <c r="J385" s="76">
        <v>50</v>
      </c>
      <c r="K385" s="76">
        <v>50</v>
      </c>
      <c r="L385" s="76"/>
      <c r="M385" s="76">
        <v>25</v>
      </c>
      <c r="N385" s="76">
        <v>55</v>
      </c>
      <c r="O385" s="76"/>
      <c r="P385" s="106"/>
      <c r="Q385" s="106"/>
      <c r="R385" s="106"/>
      <c r="S385" s="106"/>
      <c r="T385" s="106"/>
      <c r="U385" s="107"/>
      <c r="V385" s="16">
        <f t="shared" si="329"/>
        <v>215</v>
      </c>
      <c r="W385" s="10"/>
      <c r="X385" s="17">
        <f t="shared" si="330"/>
        <v>-88</v>
      </c>
      <c r="Y385" s="10"/>
      <c r="Z385" s="18">
        <f t="shared" si="339"/>
        <v>142</v>
      </c>
      <c r="AA385" s="18">
        <f t="shared" si="343"/>
        <v>162</v>
      </c>
      <c r="AB385" s="16">
        <f t="shared" si="331"/>
        <v>304</v>
      </c>
      <c r="AC385" s="16">
        <f t="shared" si="332"/>
        <v>392</v>
      </c>
      <c r="AE385" s="15" t="s">
        <v>42</v>
      </c>
      <c r="AF385" s="16">
        <v>98</v>
      </c>
      <c r="AG385" s="123">
        <f>ROUND(Load!$M$43+'2022'!$E$387*0.485/744,0)</f>
        <v>78</v>
      </c>
      <c r="AH385" s="16">
        <f t="shared" si="333"/>
        <v>176</v>
      </c>
      <c r="AI385" s="15" t="s">
        <v>42</v>
      </c>
      <c r="AJ385" s="16"/>
      <c r="AK385" s="16">
        <v>35</v>
      </c>
      <c r="AL385" s="16"/>
      <c r="AM385" s="75"/>
      <c r="AN385" s="76">
        <v>50</v>
      </c>
      <c r="AO385" s="76">
        <v>50</v>
      </c>
      <c r="AP385" s="76">
        <v>25</v>
      </c>
      <c r="AQ385" s="76">
        <v>55</v>
      </c>
      <c r="AR385" s="76"/>
      <c r="AS385" s="76"/>
      <c r="AT385" s="106"/>
      <c r="AU385" s="106"/>
      <c r="AV385" s="106"/>
      <c r="AW385" s="106"/>
      <c r="AX385" s="106"/>
      <c r="AY385" s="107"/>
      <c r="AZ385" s="16">
        <f t="shared" si="334"/>
        <v>215</v>
      </c>
      <c r="BA385" s="10"/>
      <c r="BB385" s="17">
        <f t="shared" si="335"/>
        <v>-39</v>
      </c>
      <c r="BC385" s="10"/>
      <c r="BD385" s="18">
        <f t="shared" si="336"/>
        <v>142</v>
      </c>
      <c r="BE385" s="18">
        <f t="shared" si="341"/>
        <v>162</v>
      </c>
      <c r="BF385" s="16">
        <f t="shared" si="337"/>
        <v>304</v>
      </c>
      <c r="BG385" s="16">
        <f t="shared" si="338"/>
        <v>343</v>
      </c>
      <c r="BH385" s="92"/>
      <c r="BI385" s="92"/>
    </row>
    <row r="386" spans="1:61" ht="15" thickTop="1" x14ac:dyDescent="0.3">
      <c r="A386" s="2" t="s">
        <v>43</v>
      </c>
      <c r="B386" s="2">
        <f>SUM(B362:B385)</f>
        <v>2320</v>
      </c>
      <c r="C386" s="2">
        <f t="shared" ref="C386:D386" si="344">SUM(C362:C385)</f>
        <v>1872</v>
      </c>
      <c r="D386" s="2">
        <f t="shared" si="344"/>
        <v>4192</v>
      </c>
      <c r="E386" s="327" t="s">
        <v>406</v>
      </c>
      <c r="F386" s="2">
        <f t="shared" ref="F386:H386" si="345">SUM(F362:F385)</f>
        <v>464</v>
      </c>
      <c r="G386" s="2">
        <f t="shared" si="345"/>
        <v>840</v>
      </c>
      <c r="H386" s="2">
        <f t="shared" si="345"/>
        <v>317</v>
      </c>
      <c r="I386" s="2">
        <f>SUM(I362:I385)</f>
        <v>800</v>
      </c>
      <c r="J386" s="2">
        <f>SUM(J362:J385)</f>
        <v>400</v>
      </c>
      <c r="K386" s="2">
        <f>SUM(K362:K385)</f>
        <v>400</v>
      </c>
      <c r="L386" s="2">
        <f>SUM(L362:L385)</f>
        <v>800</v>
      </c>
      <c r="M386" s="2">
        <f t="shared" ref="M386:U386" si="346">SUM(M362:M385)</f>
        <v>600</v>
      </c>
      <c r="N386" s="2">
        <f t="shared" si="346"/>
        <v>440</v>
      </c>
      <c r="O386" s="2">
        <f t="shared" ref="O386:P386" si="347">SUM(O362:O385)</f>
        <v>0</v>
      </c>
      <c r="P386" s="2">
        <f t="shared" si="347"/>
        <v>0</v>
      </c>
      <c r="Q386" s="2">
        <f t="shared" ref="Q386" si="348">SUM(Q362:Q385)</f>
        <v>0</v>
      </c>
      <c r="R386" s="2">
        <f t="shared" ref="R386" si="349">SUM(R362:R385)</f>
        <v>0</v>
      </c>
      <c r="S386" s="2">
        <f t="shared" ref="S386" si="350">SUM(S362:S385)</f>
        <v>0</v>
      </c>
      <c r="T386" s="2">
        <f t="shared" ref="T386" si="351">SUM(T362:T385)</f>
        <v>0</v>
      </c>
      <c r="U386" s="2">
        <f t="shared" si="346"/>
        <v>-192</v>
      </c>
      <c r="V386" s="2">
        <f>SUM(V362:V385)</f>
        <v>4869</v>
      </c>
      <c r="W386" s="10"/>
      <c r="X386" s="19">
        <f>SUM(X362:X385)</f>
        <v>-677</v>
      </c>
      <c r="Y386" s="10"/>
      <c r="Z386" s="19">
        <f>SUM(Z362:Z385)</f>
        <v>2627</v>
      </c>
      <c r="AA386" s="19">
        <f>SUM(AA362:AA385)</f>
        <v>3568</v>
      </c>
      <c r="AB386" s="19">
        <f>SUM(AB362:AB385)</f>
        <v>6195</v>
      </c>
      <c r="AC386" s="19">
        <f>SUM(AC362:AC385)</f>
        <v>6872</v>
      </c>
      <c r="AE386" s="2" t="s">
        <v>43</v>
      </c>
      <c r="AF386" s="2">
        <f>SUM(AF362:AF385)</f>
        <v>2518</v>
      </c>
      <c r="AG386" s="2">
        <f t="shared" ref="AG386:AH386" si="352">SUM(AG362:AG385)</f>
        <v>1872</v>
      </c>
      <c r="AH386" s="2">
        <f t="shared" si="352"/>
        <v>4390</v>
      </c>
      <c r="AI386" s="92"/>
      <c r="AJ386" s="2">
        <f t="shared" ref="AJ386:AL386" si="353">SUM(AJ362:AJ385)</f>
        <v>464</v>
      </c>
      <c r="AK386" s="2">
        <f t="shared" si="353"/>
        <v>840</v>
      </c>
      <c r="AL386" s="2">
        <f t="shared" si="353"/>
        <v>317</v>
      </c>
      <c r="AM386" s="2">
        <f>SUM(AM362:AM385)</f>
        <v>800</v>
      </c>
      <c r="AN386" s="2">
        <f t="shared" ref="AN386:AO386" si="354">SUM(AN362:AN385)</f>
        <v>1200</v>
      </c>
      <c r="AO386" s="2">
        <f t="shared" si="354"/>
        <v>1200</v>
      </c>
      <c r="AP386" s="2">
        <f>SUM(AP362:AP385)</f>
        <v>600</v>
      </c>
      <c r="AQ386" s="2">
        <f t="shared" ref="AQ386:AY386" si="355">SUM(AQ362:AQ385)</f>
        <v>1320</v>
      </c>
      <c r="AR386" s="2">
        <f t="shared" si="355"/>
        <v>0</v>
      </c>
      <c r="AS386" s="2">
        <f t="shared" si="355"/>
        <v>0</v>
      </c>
      <c r="AT386" s="2">
        <f t="shared" si="355"/>
        <v>0</v>
      </c>
      <c r="AU386" s="2">
        <f t="shared" si="355"/>
        <v>0</v>
      </c>
      <c r="AV386" s="2">
        <f t="shared" si="355"/>
        <v>0</v>
      </c>
      <c r="AW386" s="2">
        <f t="shared" si="355"/>
        <v>0</v>
      </c>
      <c r="AX386" s="2">
        <f t="shared" si="355"/>
        <v>0</v>
      </c>
      <c r="AY386" s="2">
        <f t="shared" si="355"/>
        <v>-192</v>
      </c>
      <c r="AZ386" s="2">
        <f>SUM(AZ362:AZ385)</f>
        <v>6549</v>
      </c>
      <c r="BA386" s="10"/>
      <c r="BB386" s="19">
        <f>SUM(BB362:BB385)</f>
        <v>-2159</v>
      </c>
      <c r="BC386" s="10"/>
      <c r="BD386" s="19">
        <f>SUM(BD362:BD385)</f>
        <v>2627</v>
      </c>
      <c r="BE386" s="19">
        <f>SUM(BE362:BE385)</f>
        <v>3888</v>
      </c>
      <c r="BF386" s="19">
        <f>SUM(BF362:BF385)</f>
        <v>6515</v>
      </c>
      <c r="BG386" s="19">
        <f>SUM(BG362:BG385)</f>
        <v>8674</v>
      </c>
      <c r="BH386" s="92"/>
      <c r="BI386" s="92"/>
    </row>
    <row r="387" spans="1:61" x14ac:dyDescent="0.3">
      <c r="A387" s="2" t="s">
        <v>44</v>
      </c>
      <c r="B387" s="2">
        <f>B386*(31-$AN359)</f>
        <v>60320</v>
      </c>
      <c r="C387" s="2">
        <f t="shared" ref="C387:D387" si="356">C386*(31-$AN359)</f>
        <v>48672</v>
      </c>
      <c r="D387" s="2">
        <f t="shared" si="356"/>
        <v>108992</v>
      </c>
      <c r="E387" s="328">
        <f>B387+AF387</f>
        <v>72910</v>
      </c>
      <c r="H387" s="124">
        <f>'Hoover with 30 MW Solar'!K44</f>
        <v>317.23406929032245</v>
      </c>
      <c r="I387" s="479" t="s">
        <v>470</v>
      </c>
      <c r="V387" s="2">
        <f>V386*31</f>
        <v>150939</v>
      </c>
      <c r="W387" s="35" t="s">
        <v>153</v>
      </c>
      <c r="X387" s="87">
        <f>-SUMIF(X362:X385,"&lt;0")</f>
        <v>1912</v>
      </c>
      <c r="Y387" s="92">
        <f>X387*(31-AN359)</f>
        <v>49712</v>
      </c>
      <c r="Z387" s="92" t="s">
        <v>217</v>
      </c>
      <c r="AE387" s="2" t="s">
        <v>44</v>
      </c>
      <c r="AF387" s="2">
        <f>AF386*$AN359</f>
        <v>12590</v>
      </c>
      <c r="AG387" s="2">
        <f t="shared" ref="AG387:AH387" si="357">AG386*$AN359</f>
        <v>9360</v>
      </c>
      <c r="AH387" s="2">
        <f t="shared" si="357"/>
        <v>21950</v>
      </c>
      <c r="AI387" s="92"/>
      <c r="AJ387" s="92"/>
      <c r="AK387" s="92"/>
      <c r="AL387" s="124">
        <f>H387</f>
        <v>317.23406929032245</v>
      </c>
      <c r="AM387" s="2"/>
      <c r="AN387" s="2"/>
      <c r="AO387" s="2"/>
      <c r="AP387" s="2"/>
      <c r="AQ387" s="92"/>
      <c r="AR387" s="92"/>
      <c r="AS387" s="92"/>
      <c r="AT387" s="92"/>
      <c r="AU387" s="92"/>
      <c r="AV387" s="92"/>
      <c r="AW387" s="92"/>
      <c r="AX387" s="92"/>
      <c r="AY387" s="92"/>
      <c r="AZ387" s="2"/>
      <c r="BA387" s="35" t="s">
        <v>216</v>
      </c>
      <c r="BB387" s="87">
        <f>-SUMIF(BB362:BB385,"&lt;0")</f>
        <v>2669</v>
      </c>
      <c r="BC387" s="92">
        <f>BB387*AN359</f>
        <v>13345</v>
      </c>
      <c r="BD387" s="92" t="s">
        <v>217</v>
      </c>
      <c r="BE387" s="92"/>
      <c r="BF387" s="92"/>
      <c r="BG387" s="92"/>
      <c r="BH387" s="92"/>
      <c r="BI387" s="92"/>
    </row>
    <row r="388" spans="1:61" x14ac:dyDescent="0.3">
      <c r="A388" s="2" t="s">
        <v>45</v>
      </c>
      <c r="B388" s="20">
        <f>ROUND(B386/48.35,0)</f>
        <v>48</v>
      </c>
      <c r="C388" s="294">
        <f>((B388*(31-AN359)+AF388*AN359)/31)</f>
        <v>48.645161290322584</v>
      </c>
      <c r="D388" s="294">
        <f>C388-Load!M35</f>
        <v>-1.6786943771515936</v>
      </c>
      <c r="F388" s="21">
        <v>24.99</v>
      </c>
      <c r="G388" s="62">
        <f>D494</f>
        <v>43.710356250000004</v>
      </c>
      <c r="H388" s="98">
        <f>$F$479</f>
        <v>43.87</v>
      </c>
      <c r="I388" s="21">
        <v>33</v>
      </c>
      <c r="J388" s="21">
        <v>23.75</v>
      </c>
      <c r="K388" s="21">
        <v>23.9</v>
      </c>
      <c r="L388" s="21">
        <v>26.5</v>
      </c>
      <c r="M388" s="21">
        <v>25.5</v>
      </c>
      <c r="N388" s="21">
        <v>25.35</v>
      </c>
      <c r="O388" s="21"/>
      <c r="P388" s="21"/>
      <c r="Q388" s="21"/>
      <c r="R388" s="21"/>
      <c r="S388" s="21"/>
      <c r="T388" s="21"/>
      <c r="U388" s="21"/>
      <c r="X388" s="11">
        <f>SUM(X384:X385,X362:X367)</f>
        <v>-704</v>
      </c>
      <c r="Y388" s="92">
        <f>Y387+BC387</f>
        <v>63057</v>
      </c>
      <c r="Z388" s="92" t="s">
        <v>236</v>
      </c>
      <c r="AA388" s="92"/>
      <c r="AE388" s="2" t="s">
        <v>45</v>
      </c>
      <c r="AF388" s="20">
        <f>ROUND(AF386/48.35,0)</f>
        <v>52</v>
      </c>
      <c r="AG388" s="92"/>
      <c r="AH388" s="92"/>
      <c r="AI388" s="92"/>
      <c r="AJ388" s="21"/>
      <c r="AK388" s="21"/>
      <c r="AL388" s="21"/>
      <c r="AM388" s="21">
        <v>33</v>
      </c>
      <c r="AN388" s="21">
        <v>23.75</v>
      </c>
      <c r="AO388" s="21">
        <v>23.9</v>
      </c>
      <c r="AP388" s="21">
        <v>25.5</v>
      </c>
      <c r="AQ388" s="21">
        <v>25.35</v>
      </c>
      <c r="AR388" s="313"/>
      <c r="AS388" s="313"/>
      <c r="AT388" s="313"/>
      <c r="AU388" s="313"/>
      <c r="AV388" s="313"/>
      <c r="AW388" s="313"/>
      <c r="AX388" s="313"/>
      <c r="AY388" s="21">
        <f>AM388</f>
        <v>33</v>
      </c>
      <c r="AZ388" s="92"/>
      <c r="BA388" s="92"/>
      <c r="BB388" s="11">
        <f>SUM(BB384:BB385,BB362:BB367)</f>
        <v>-312</v>
      </c>
      <c r="BC388" s="92"/>
      <c r="BD388" s="92"/>
      <c r="BE388" s="92"/>
      <c r="BF388" s="92"/>
      <c r="BG388" s="92"/>
      <c r="BH388" s="92"/>
      <c r="BI388" s="92"/>
    </row>
    <row r="389" spans="1:61" x14ac:dyDescent="0.3">
      <c r="A389" s="2" t="s">
        <v>62</v>
      </c>
      <c r="B389" s="2">
        <f>SUM(B368:B383)</f>
        <v>1928</v>
      </c>
      <c r="C389" s="2">
        <f>SUM(C368:C383)</f>
        <v>1248</v>
      </c>
      <c r="F389" s="40">
        <f>'Hoover with 30 MW Solar'!K30</f>
        <v>6662.2561479999977</v>
      </c>
      <c r="G389" s="40">
        <f>G386*31</f>
        <v>26040</v>
      </c>
      <c r="H389" s="40">
        <f>'Hoover with 30 MW Solar'!K31</f>
        <v>11604</v>
      </c>
      <c r="I389" s="40">
        <f t="shared" ref="I389:U389" si="358">I386*(31-$AN359)</f>
        <v>20800</v>
      </c>
      <c r="J389" s="40">
        <f t="shared" si="358"/>
        <v>10400</v>
      </c>
      <c r="K389" s="40">
        <f t="shared" si="358"/>
        <v>10400</v>
      </c>
      <c r="L389" s="40">
        <f t="shared" si="358"/>
        <v>20800</v>
      </c>
      <c r="M389" s="40">
        <f t="shared" si="358"/>
        <v>15600</v>
      </c>
      <c r="N389" s="40">
        <f t="shared" si="358"/>
        <v>11440</v>
      </c>
      <c r="O389" s="40">
        <f t="shared" si="358"/>
        <v>0</v>
      </c>
      <c r="P389" s="40">
        <f t="shared" si="358"/>
        <v>0</v>
      </c>
      <c r="Q389" s="40">
        <f t="shared" si="358"/>
        <v>0</v>
      </c>
      <c r="R389" s="40">
        <f t="shared" si="358"/>
        <v>0</v>
      </c>
      <c r="S389" s="40">
        <f t="shared" si="358"/>
        <v>0</v>
      </c>
      <c r="T389" s="40">
        <f t="shared" si="358"/>
        <v>0</v>
      </c>
      <c r="U389" s="40">
        <f t="shared" si="358"/>
        <v>-4992</v>
      </c>
      <c r="X389" s="13">
        <f>SUM(X368:X383)</f>
        <v>27</v>
      </c>
      <c r="AE389" s="2" t="s">
        <v>62</v>
      </c>
      <c r="AF389" s="2">
        <f>SUM(AF368:AF383)</f>
        <v>1734</v>
      </c>
      <c r="AG389" s="2">
        <f>SUM(AG368:AG383)</f>
        <v>1248</v>
      </c>
      <c r="AH389" s="92"/>
      <c r="AI389" s="92"/>
      <c r="AJ389" s="22"/>
      <c r="AK389" s="22"/>
      <c r="AL389" s="22"/>
      <c r="AM389" s="22">
        <f>AM386*$AN359</f>
        <v>4000</v>
      </c>
      <c r="AN389" s="22">
        <f t="shared" ref="AN389:AY389" si="359">AN386*$AN359</f>
        <v>6000</v>
      </c>
      <c r="AO389" s="22">
        <f t="shared" si="359"/>
        <v>6000</v>
      </c>
      <c r="AP389" s="22">
        <f t="shared" si="359"/>
        <v>3000</v>
      </c>
      <c r="AQ389" s="22">
        <f t="shared" si="359"/>
        <v>6600</v>
      </c>
      <c r="AR389" s="22">
        <f t="shared" si="359"/>
        <v>0</v>
      </c>
      <c r="AS389" s="22">
        <f t="shared" si="359"/>
        <v>0</v>
      </c>
      <c r="AT389" s="22">
        <f t="shared" si="359"/>
        <v>0</v>
      </c>
      <c r="AU389" s="22">
        <f t="shared" si="359"/>
        <v>0</v>
      </c>
      <c r="AV389" s="22">
        <f t="shared" si="359"/>
        <v>0</v>
      </c>
      <c r="AW389" s="22">
        <f t="shared" si="359"/>
        <v>0</v>
      </c>
      <c r="AX389" s="22">
        <f t="shared" si="359"/>
        <v>0</v>
      </c>
      <c r="AY389" s="22">
        <f t="shared" si="359"/>
        <v>-960</v>
      </c>
      <c r="AZ389" s="92"/>
      <c r="BA389" s="92"/>
      <c r="BB389" s="13">
        <f>SUM(BB368:BB383)</f>
        <v>-1847</v>
      </c>
      <c r="BC389" s="92"/>
      <c r="BD389" s="92"/>
      <c r="BE389" s="92"/>
      <c r="BF389" s="92"/>
      <c r="BG389" s="92"/>
      <c r="BH389" s="92"/>
      <c r="BI389" s="92"/>
    </row>
    <row r="390" spans="1:61" x14ac:dyDescent="0.3">
      <c r="A390" s="2" t="s">
        <v>63</v>
      </c>
      <c r="B390" s="2">
        <f>SUM(B384:B385,B362:B367)</f>
        <v>392</v>
      </c>
      <c r="C390" s="2">
        <f>SUM(C384:C385,C362:C367)</f>
        <v>624</v>
      </c>
      <c r="D390" s="24"/>
      <c r="E390" s="24"/>
      <c r="F390" s="26">
        <f t="shared" ref="F390:U390" si="360">F389*F388</f>
        <v>166489.78113851993</v>
      </c>
      <c r="G390" s="26">
        <f t="shared" si="360"/>
        <v>1138217.6767500001</v>
      </c>
      <c r="H390" s="26">
        <f t="shared" si="360"/>
        <v>509067.48</v>
      </c>
      <c r="I390" s="26">
        <f t="shared" si="360"/>
        <v>686400</v>
      </c>
      <c r="J390" s="26">
        <f t="shared" si="360"/>
        <v>247000</v>
      </c>
      <c r="K390" s="26">
        <f t="shared" si="360"/>
        <v>248559.99999999997</v>
      </c>
      <c r="L390" s="26">
        <f t="shared" si="360"/>
        <v>551200</v>
      </c>
      <c r="M390" s="26">
        <f t="shared" si="360"/>
        <v>397800</v>
      </c>
      <c r="N390" s="26">
        <f t="shared" si="360"/>
        <v>290004</v>
      </c>
      <c r="O390" s="26">
        <f t="shared" si="360"/>
        <v>0</v>
      </c>
      <c r="P390" s="26">
        <f t="shared" si="360"/>
        <v>0</v>
      </c>
      <c r="Q390" s="26">
        <f t="shared" si="360"/>
        <v>0</v>
      </c>
      <c r="R390" s="26">
        <f t="shared" si="360"/>
        <v>0</v>
      </c>
      <c r="S390" s="26">
        <f t="shared" si="360"/>
        <v>0</v>
      </c>
      <c r="T390" s="26">
        <f t="shared" si="360"/>
        <v>0</v>
      </c>
      <c r="U390" s="26">
        <f t="shared" si="360"/>
        <v>0</v>
      </c>
      <c r="W390" s="24"/>
      <c r="X390" s="24"/>
      <c r="Y390" s="24"/>
      <c r="Z390" s="24"/>
      <c r="AA390" s="24"/>
      <c r="AB390" s="24"/>
      <c r="AC390" s="24"/>
      <c r="AE390" s="2" t="s">
        <v>63</v>
      </c>
      <c r="AF390" s="2">
        <f>SUM(AF384:AF385,AF362:AF367)</f>
        <v>784</v>
      </c>
      <c r="AG390" s="2">
        <f>SUM(AG384:AG385,AG362:AG367)</f>
        <v>624</v>
      </c>
      <c r="AH390" s="24"/>
      <c r="AI390" s="24"/>
      <c r="AJ390" s="25"/>
      <c r="AK390" s="25"/>
      <c r="AL390" s="25"/>
      <c r="AM390" s="25">
        <f>AM389*AM388</f>
        <v>132000</v>
      </c>
      <c r="AN390" s="25">
        <f t="shared" ref="AN390:AY390" si="361">AN389*AN388</f>
        <v>142500</v>
      </c>
      <c r="AO390" s="25">
        <f t="shared" si="361"/>
        <v>143400</v>
      </c>
      <c r="AP390" s="25">
        <f t="shared" si="361"/>
        <v>76500</v>
      </c>
      <c r="AQ390" s="25">
        <f t="shared" si="361"/>
        <v>167310</v>
      </c>
      <c r="AR390" s="25">
        <f t="shared" si="361"/>
        <v>0</v>
      </c>
      <c r="AS390" s="25">
        <f t="shared" si="361"/>
        <v>0</v>
      </c>
      <c r="AT390" s="25">
        <f t="shared" si="361"/>
        <v>0</v>
      </c>
      <c r="AU390" s="25">
        <f t="shared" si="361"/>
        <v>0</v>
      </c>
      <c r="AV390" s="25">
        <f t="shared" si="361"/>
        <v>0</v>
      </c>
      <c r="AW390" s="25">
        <f t="shared" si="361"/>
        <v>0</v>
      </c>
      <c r="AX390" s="25">
        <f t="shared" si="361"/>
        <v>0</v>
      </c>
      <c r="AY390" s="25">
        <f t="shared" si="361"/>
        <v>-31680</v>
      </c>
      <c r="AZ390" s="24"/>
      <c r="BA390" s="24"/>
      <c r="BB390" s="24"/>
      <c r="BC390" s="24"/>
      <c r="BD390" s="24"/>
      <c r="BE390" s="24"/>
      <c r="BF390" s="24"/>
      <c r="BG390" s="24"/>
      <c r="BH390" s="92"/>
      <c r="BI390" s="92"/>
    </row>
    <row r="391" spans="1:61" x14ac:dyDescent="0.3">
      <c r="A391" s="23"/>
      <c r="B391" s="23"/>
      <c r="C391" s="35" t="s">
        <v>221</v>
      </c>
      <c r="D391" s="117">
        <f>D387+AH387</f>
        <v>130942</v>
      </c>
      <c r="E391" s="23"/>
      <c r="F391" s="24"/>
      <c r="G391" s="24"/>
      <c r="H391" s="24"/>
      <c r="I391" s="116" t="s">
        <v>222</v>
      </c>
      <c r="J391" s="25">
        <f>SUM(F390:T390)+SUM(AM390:AX390)</f>
        <v>4896448.9378885198</v>
      </c>
      <c r="K391" s="23"/>
      <c r="L391" s="92"/>
      <c r="M391" s="92"/>
      <c r="W391" s="23"/>
      <c r="X391" s="11">
        <f>X388*(31-AN359)</f>
        <v>-18304</v>
      </c>
      <c r="Y391" s="23"/>
      <c r="Z391" s="23"/>
      <c r="AA391" s="23"/>
      <c r="AB391" s="23"/>
      <c r="AC391" s="23"/>
      <c r="AE391" s="23"/>
      <c r="AF391" s="23"/>
      <c r="AG391" s="23"/>
      <c r="AH391" s="23"/>
      <c r="AI391" s="23"/>
      <c r="AJ391" s="23"/>
      <c r="AK391" s="23"/>
      <c r="AL391" s="23"/>
      <c r="AM391" s="23"/>
      <c r="AN391" s="25"/>
      <c r="AO391" s="23"/>
      <c r="AP391" s="92"/>
      <c r="AQ391" s="92"/>
      <c r="AR391" s="92"/>
      <c r="AS391" s="92"/>
      <c r="AT391" s="92"/>
      <c r="AU391" s="92"/>
      <c r="AV391" s="92"/>
      <c r="AW391" s="92"/>
      <c r="AX391" s="92"/>
      <c r="AY391" s="92"/>
      <c r="AZ391" s="92"/>
      <c r="BA391" s="23"/>
      <c r="BB391" s="11">
        <f>BB388*AN359</f>
        <v>-1560</v>
      </c>
      <c r="BC391" s="23"/>
      <c r="BD391" s="23"/>
      <c r="BE391" s="23"/>
      <c r="BF391" s="23"/>
      <c r="BG391" s="23"/>
      <c r="BH391" s="92"/>
      <c r="BI391" s="92"/>
    </row>
    <row r="392" spans="1:61" x14ac:dyDescent="0.3">
      <c r="C392" s="35" t="s">
        <v>131</v>
      </c>
      <c r="D392" s="36">
        <f>D387+AH387-Load!S17</f>
        <v>-3720.3138650105102</v>
      </c>
      <c r="F392" s="23"/>
      <c r="G392" s="23"/>
      <c r="H392" s="23"/>
      <c r="I392" s="23" t="s">
        <v>173</v>
      </c>
      <c r="J392" s="22">
        <f>SUM(F389:T389)+SUM(AM389:AX389)</f>
        <v>159346.25614800001</v>
      </c>
      <c r="K392" s="39">
        <f>J392/D391</f>
        <v>1.216922424798766</v>
      </c>
      <c r="L392" s="92" t="s">
        <v>223</v>
      </c>
      <c r="M392" s="92"/>
      <c r="X392" s="13">
        <f>X389*(31-AN359)</f>
        <v>702</v>
      </c>
      <c r="AE392" s="92"/>
      <c r="AF392" s="92"/>
      <c r="AG392" s="35"/>
      <c r="AH392" s="36"/>
      <c r="AI392" s="92"/>
      <c r="AJ392" s="92"/>
      <c r="AK392" s="92"/>
      <c r="AL392" s="92"/>
      <c r="AM392" s="23"/>
      <c r="AN392" s="22"/>
      <c r="AO392" s="39"/>
      <c r="AP392" s="92"/>
      <c r="AQ392" s="92"/>
      <c r="AR392" s="92"/>
      <c r="AS392" s="92"/>
      <c r="AT392" s="92"/>
      <c r="AU392" s="92"/>
      <c r="AV392" s="92"/>
      <c r="AW392" s="92"/>
      <c r="AX392" s="92"/>
      <c r="AY392" s="92"/>
      <c r="AZ392" s="92"/>
      <c r="BA392" s="92"/>
      <c r="BB392" s="13">
        <f>BB389*AN359</f>
        <v>-9235</v>
      </c>
      <c r="BC392" s="92"/>
      <c r="BD392" s="92"/>
      <c r="BE392" s="92"/>
      <c r="BF392" s="92"/>
      <c r="BG392" s="92"/>
      <c r="BH392" s="92"/>
      <c r="BI392" s="92"/>
    </row>
    <row r="393" spans="1:61" ht="15" thickBot="1" x14ac:dyDescent="0.35">
      <c r="A393" s="313"/>
      <c r="B393" s="313"/>
      <c r="C393" s="35" t="s">
        <v>383</v>
      </c>
      <c r="D393" s="49">
        <f>C388*31*50.6</f>
        <v>76304.800000000003</v>
      </c>
      <c r="I393" s="23" t="s">
        <v>47</v>
      </c>
      <c r="J393" s="21">
        <f>J391/J392</f>
        <v>30.728358834742387</v>
      </c>
      <c r="L393" s="92"/>
      <c r="M393" s="92" t="s">
        <v>100</v>
      </c>
      <c r="X393" s="37">
        <f>SUM(X391:X392)+Y387+BB393</f>
        <v>34660</v>
      </c>
      <c r="Y393" t="s">
        <v>159</v>
      </c>
      <c r="AE393" s="23"/>
      <c r="AF393" s="92"/>
      <c r="AG393" s="92"/>
      <c r="AH393" s="92"/>
      <c r="AI393" s="92"/>
      <c r="AJ393" s="92"/>
      <c r="AK393" s="92"/>
      <c r="AL393" s="92"/>
      <c r="AM393" s="23"/>
      <c r="AN393" s="21"/>
      <c r="AO393" s="92"/>
      <c r="AP393" s="92"/>
      <c r="AQ393" s="92"/>
      <c r="AR393" s="92"/>
      <c r="AS393" s="92"/>
      <c r="AT393" s="92"/>
      <c r="AU393" s="92"/>
      <c r="AV393" s="92"/>
      <c r="AW393" s="92"/>
      <c r="AX393" s="92"/>
      <c r="AY393" s="92"/>
      <c r="AZ393" s="92"/>
      <c r="BA393" s="92"/>
      <c r="BB393" s="37">
        <f>SUM(BB391:BB392)+BC387</f>
        <v>2550</v>
      </c>
      <c r="BC393" s="92" t="s">
        <v>218</v>
      </c>
      <c r="BD393" s="92"/>
      <c r="BE393" s="92"/>
      <c r="BF393" s="92"/>
      <c r="BG393" s="92"/>
      <c r="BH393" s="92"/>
      <c r="BI393" s="92"/>
    </row>
    <row r="394" spans="1:61" x14ac:dyDescent="0.3">
      <c r="A394" s="313"/>
      <c r="B394" s="313"/>
      <c r="C394" s="35" t="s">
        <v>384</v>
      </c>
      <c r="D394" s="36">
        <f>D393-Load!M33</f>
        <v>-2633.1999999999971</v>
      </c>
      <c r="I394" s="67" t="s">
        <v>174</v>
      </c>
      <c r="J394" s="68">
        <f>SUM(I389:T389)+SUM(AM389:AX389)</f>
        <v>115040</v>
      </c>
      <c r="L394" s="92" t="s">
        <v>233</v>
      </c>
      <c r="M394" s="31">
        <f>SUM(I389:N389)+SUM(AM389:AR389)</f>
        <v>115040</v>
      </c>
      <c r="X394" s="93">
        <f>(SUM(X391:X392)+Y387)*Y394+BB395</f>
        <v>1386400</v>
      </c>
      <c r="Y394" s="57">
        <v>40</v>
      </c>
      <c r="Z394" t="s">
        <v>160</v>
      </c>
      <c r="AE394" s="23"/>
      <c r="AF394" s="92"/>
      <c r="AG394" s="92"/>
      <c r="AH394" s="92"/>
      <c r="AI394" s="92"/>
      <c r="AJ394" s="92"/>
      <c r="AK394" s="92"/>
      <c r="AL394" s="92"/>
      <c r="AM394" s="92"/>
      <c r="AN394" s="92"/>
      <c r="AO394" s="92"/>
      <c r="AP394" s="92"/>
      <c r="AQ394" s="92"/>
      <c r="AR394" s="92"/>
      <c r="AS394" s="92"/>
      <c r="AT394" s="92"/>
      <c r="AU394" s="92"/>
      <c r="AV394" s="92"/>
      <c r="AW394" s="92"/>
      <c r="AX394" s="92"/>
      <c r="AY394" s="92"/>
      <c r="AZ394" s="92"/>
      <c r="BA394" s="92"/>
      <c r="BB394" s="93">
        <f>BB393*BC394</f>
        <v>102000</v>
      </c>
      <c r="BC394" s="93">
        <f>Y394</f>
        <v>40</v>
      </c>
      <c r="BD394" s="92" t="s">
        <v>160</v>
      </c>
      <c r="BE394" s="92"/>
      <c r="BF394" s="92"/>
      <c r="BG394" s="92"/>
      <c r="BH394" s="92"/>
      <c r="BI394" s="92"/>
    </row>
    <row r="395" spans="1:61" x14ac:dyDescent="0.3">
      <c r="I395" s="69" t="s">
        <v>18</v>
      </c>
      <c r="J395" s="70">
        <f>SUM(I390:T390)+SUM(AM390:AX390)</f>
        <v>3082674</v>
      </c>
      <c r="L395" s="92" t="s">
        <v>235</v>
      </c>
      <c r="M395" s="31">
        <f>SUM(O389:T389)+SUM(AS389:AX389)</f>
        <v>0</v>
      </c>
      <c r="X395" s="79">
        <f>X394+J395</f>
        <v>4469074</v>
      </c>
      <c r="Y395" t="s">
        <v>161</v>
      </c>
      <c r="AE395" s="23"/>
      <c r="AF395" s="92"/>
      <c r="AG395" s="92"/>
      <c r="AH395" s="92"/>
      <c r="AI395" s="92"/>
      <c r="AJ395" s="92"/>
      <c r="AK395" s="92"/>
      <c r="AL395" s="92"/>
      <c r="AM395" s="92"/>
      <c r="AN395" s="92"/>
      <c r="AO395" s="92"/>
      <c r="AP395" s="92"/>
      <c r="AQ395" s="92"/>
      <c r="AR395" s="92"/>
      <c r="AS395" s="92"/>
      <c r="AT395" s="92"/>
      <c r="AU395" s="92"/>
      <c r="AV395" s="92"/>
      <c r="AW395" s="92"/>
      <c r="AX395" s="92"/>
      <c r="AY395" s="92"/>
      <c r="AZ395" s="92"/>
      <c r="BA395" s="92"/>
      <c r="BB395" s="79">
        <f>BB394</f>
        <v>102000</v>
      </c>
      <c r="BC395" s="92" t="s">
        <v>219</v>
      </c>
      <c r="BD395" s="92"/>
      <c r="BE395" s="92"/>
      <c r="BF395" s="92"/>
      <c r="BG395" s="92"/>
      <c r="BH395" s="92"/>
      <c r="BI395" s="92"/>
    </row>
    <row r="396" spans="1:61" ht="15" thickBot="1" x14ac:dyDescent="0.35">
      <c r="I396" s="71" t="s">
        <v>156</v>
      </c>
      <c r="J396" s="72">
        <f>J395/J394</f>
        <v>26.796540333796941</v>
      </c>
      <c r="W396" s="38" t="s">
        <v>193</v>
      </c>
      <c r="X396" s="80">
        <f>J394+X393</f>
        <v>149700</v>
      </c>
      <c r="Y396" s="79">
        <f>X395/X396</f>
        <v>29.853533734134938</v>
      </c>
    </row>
    <row r="397" spans="1:61" x14ac:dyDescent="0.3">
      <c r="AE397" s="92"/>
      <c r="AF397" s="92"/>
      <c r="AG397" s="92"/>
      <c r="AH397" s="92"/>
      <c r="AI397" s="92"/>
      <c r="AJ397" s="92"/>
      <c r="AK397" s="92"/>
      <c r="AL397" s="92"/>
      <c r="AM397" s="92"/>
      <c r="AN397" s="115" t="s">
        <v>215</v>
      </c>
      <c r="AO397" s="92"/>
      <c r="AP397" s="92"/>
      <c r="AQ397" s="92"/>
      <c r="AR397" s="92"/>
      <c r="AS397" s="92"/>
      <c r="AT397" s="92"/>
      <c r="AU397" s="92"/>
      <c r="AV397" s="92"/>
      <c r="AW397" s="92"/>
      <c r="AX397" s="92"/>
      <c r="AY397" s="92"/>
      <c r="AZ397" s="92"/>
      <c r="BA397" s="92"/>
      <c r="BB397" s="92"/>
      <c r="BC397" s="92"/>
      <c r="BD397" s="92"/>
      <c r="BE397" s="92"/>
      <c r="BF397" s="92"/>
      <c r="BG397" s="92"/>
    </row>
    <row r="398" spans="1:61" ht="15" thickBot="1" x14ac:dyDescent="0.35">
      <c r="A398" s="2" t="s">
        <v>60</v>
      </c>
      <c r="F398" s="87"/>
      <c r="U398" s="37" t="s">
        <v>237</v>
      </c>
      <c r="X398" s="91" t="s">
        <v>0</v>
      </c>
      <c r="Z398" s="481" t="s">
        <v>1</v>
      </c>
      <c r="AA398" s="482"/>
      <c r="AC398" s="1" t="s">
        <v>75</v>
      </c>
      <c r="AE398" s="2" t="s">
        <v>60</v>
      </c>
      <c r="AF398" s="92"/>
      <c r="AG398" s="92"/>
      <c r="AH398" s="92"/>
      <c r="AI398" s="92"/>
      <c r="AJ398" s="92"/>
      <c r="AK398" s="92"/>
      <c r="AL398" s="92"/>
      <c r="AM398" s="37" t="s">
        <v>214</v>
      </c>
      <c r="AN398" s="322">
        <v>5</v>
      </c>
      <c r="AO398" s="313"/>
      <c r="AP398" s="313"/>
      <c r="AQ398" s="313"/>
      <c r="AR398" s="313"/>
      <c r="AS398" s="313"/>
      <c r="AT398" s="313"/>
      <c r="AU398" s="313"/>
      <c r="AV398" s="313"/>
      <c r="AW398" s="313"/>
      <c r="AX398" s="313"/>
      <c r="AY398" s="37" t="s">
        <v>237</v>
      </c>
      <c r="AZ398" s="92"/>
      <c r="BA398" s="92"/>
      <c r="BB398" s="114" t="s">
        <v>0</v>
      </c>
      <c r="BC398" s="92"/>
      <c r="BD398" s="481" t="s">
        <v>1</v>
      </c>
      <c r="BE398" s="483"/>
      <c r="BF398" s="482"/>
      <c r="BG398" s="1" t="s">
        <v>75</v>
      </c>
    </row>
    <row r="399" spans="1:61" x14ac:dyDescent="0.3">
      <c r="F399" s="87" t="s">
        <v>415</v>
      </c>
      <c r="I399" s="73" t="s">
        <v>405</v>
      </c>
      <c r="J399" s="74" t="s">
        <v>226</v>
      </c>
      <c r="K399" s="74" t="s">
        <v>3</v>
      </c>
      <c r="L399" s="74" t="s">
        <v>226</v>
      </c>
      <c r="M399" s="74" t="s">
        <v>226</v>
      </c>
      <c r="N399" s="74" t="s">
        <v>226</v>
      </c>
      <c r="O399" s="74"/>
      <c r="P399" s="104"/>
      <c r="Q399" s="104"/>
      <c r="R399" s="104"/>
      <c r="S399" s="104"/>
      <c r="T399" s="104"/>
      <c r="U399" s="105" t="s">
        <v>2</v>
      </c>
      <c r="X399" s="3" t="s">
        <v>4</v>
      </c>
      <c r="Z399" s="3" t="s">
        <v>4</v>
      </c>
      <c r="AA399" s="4" t="s">
        <v>4</v>
      </c>
      <c r="AB399" s="5" t="s">
        <v>4</v>
      </c>
      <c r="AC399" s="5" t="s">
        <v>6</v>
      </c>
      <c r="AE399" s="92"/>
      <c r="AF399" s="92"/>
      <c r="AG399" s="92"/>
      <c r="AH399" s="92"/>
      <c r="AI399" s="92"/>
      <c r="AJ399" s="92"/>
      <c r="AK399" s="92"/>
      <c r="AL399" s="92"/>
      <c r="AM399" s="73" t="s">
        <v>405</v>
      </c>
      <c r="AN399" s="74" t="s">
        <v>226</v>
      </c>
      <c r="AO399" s="74" t="s">
        <v>3</v>
      </c>
      <c r="AP399" s="74" t="s">
        <v>226</v>
      </c>
      <c r="AQ399" s="74" t="s">
        <v>226</v>
      </c>
      <c r="AR399" s="74"/>
      <c r="AS399" s="74"/>
      <c r="AT399" s="104"/>
      <c r="AU399" s="104"/>
      <c r="AV399" s="104"/>
      <c r="AW399" s="104"/>
      <c r="AX399" s="104"/>
      <c r="AY399" s="105" t="s">
        <v>2</v>
      </c>
      <c r="AZ399" s="92"/>
      <c r="BA399" s="92"/>
      <c r="BB399" s="3" t="s">
        <v>4</v>
      </c>
      <c r="BC399" s="92"/>
      <c r="BD399" s="3" t="s">
        <v>4</v>
      </c>
      <c r="BE399" s="4" t="s">
        <v>4</v>
      </c>
      <c r="BF399" s="5" t="s">
        <v>4</v>
      </c>
      <c r="BG399" s="5" t="s">
        <v>6</v>
      </c>
    </row>
    <row r="400" spans="1:61" ht="15" thickBot="1" x14ac:dyDescent="0.35">
      <c r="A400" s="2" t="s">
        <v>7</v>
      </c>
      <c r="B400" s="2" t="s">
        <v>8</v>
      </c>
      <c r="C400" s="2" t="s">
        <v>9</v>
      </c>
      <c r="D400" s="2" t="s">
        <v>10</v>
      </c>
      <c r="E400" s="2" t="s">
        <v>7</v>
      </c>
      <c r="F400" s="2" t="s">
        <v>11</v>
      </c>
      <c r="G400" s="2" t="s">
        <v>12</v>
      </c>
      <c r="H400" s="2" t="s">
        <v>13</v>
      </c>
      <c r="I400" s="75" t="s">
        <v>51</v>
      </c>
      <c r="J400" s="76" t="s">
        <v>15</v>
      </c>
      <c r="K400" s="76" t="s">
        <v>15</v>
      </c>
      <c r="L400" s="76" t="s">
        <v>15</v>
      </c>
      <c r="M400" s="76" t="s">
        <v>15</v>
      </c>
      <c r="N400" s="76" t="s">
        <v>15</v>
      </c>
      <c r="O400" s="76"/>
      <c r="P400" s="106"/>
      <c r="Q400" s="106"/>
      <c r="R400" s="106"/>
      <c r="S400" s="106"/>
      <c r="T400" s="106"/>
      <c r="U400" s="107" t="s">
        <v>14</v>
      </c>
      <c r="V400" s="2" t="s">
        <v>16</v>
      </c>
      <c r="X400" s="6" t="s">
        <v>17</v>
      </c>
      <c r="Z400" s="6" t="s">
        <v>5</v>
      </c>
      <c r="AA400" s="7" t="s">
        <v>15</v>
      </c>
      <c r="AB400" s="8" t="s">
        <v>18</v>
      </c>
      <c r="AC400" s="8" t="s">
        <v>0</v>
      </c>
      <c r="AE400" s="2" t="s">
        <v>7</v>
      </c>
      <c r="AF400" s="2" t="s">
        <v>8</v>
      </c>
      <c r="AG400" s="2" t="s">
        <v>9</v>
      </c>
      <c r="AH400" s="2" t="s">
        <v>10</v>
      </c>
      <c r="AI400" s="2" t="s">
        <v>7</v>
      </c>
      <c r="AJ400" s="2" t="s">
        <v>11</v>
      </c>
      <c r="AK400" s="2" t="s">
        <v>12</v>
      </c>
      <c r="AL400" s="2" t="s">
        <v>13</v>
      </c>
      <c r="AM400" s="75" t="s">
        <v>51</v>
      </c>
      <c r="AN400" s="76" t="s">
        <v>15</v>
      </c>
      <c r="AO400" s="76" t="s">
        <v>15</v>
      </c>
      <c r="AP400" s="76" t="s">
        <v>15</v>
      </c>
      <c r="AQ400" s="76" t="s">
        <v>15</v>
      </c>
      <c r="AR400" s="76"/>
      <c r="AS400" s="76"/>
      <c r="AT400" s="106"/>
      <c r="AU400" s="106"/>
      <c r="AV400" s="106"/>
      <c r="AW400" s="106"/>
      <c r="AX400" s="106"/>
      <c r="AY400" s="107" t="s">
        <v>14</v>
      </c>
      <c r="AZ400" s="2" t="s">
        <v>16</v>
      </c>
      <c r="BA400" s="92"/>
      <c r="BB400" s="6" t="s">
        <v>17</v>
      </c>
      <c r="BC400" s="92"/>
      <c r="BD400" s="6" t="s">
        <v>5</v>
      </c>
      <c r="BE400" s="7" t="s">
        <v>15</v>
      </c>
      <c r="BF400" s="8" t="s">
        <v>18</v>
      </c>
      <c r="BG400" s="8" t="s">
        <v>0</v>
      </c>
    </row>
    <row r="401" spans="1:59" x14ac:dyDescent="0.3">
      <c r="A401" s="9" t="s">
        <v>19</v>
      </c>
      <c r="B401" s="2">
        <v>49</v>
      </c>
      <c r="C401" s="99">
        <f>ROUND(Load!$N$43+'2022'!$E$426*0.485/720,0)</f>
        <v>60</v>
      </c>
      <c r="D401" s="2">
        <f t="shared" ref="D401:D424" si="362">SUM(B401:C401)</f>
        <v>109</v>
      </c>
      <c r="E401" s="9" t="s">
        <v>19</v>
      </c>
      <c r="F401" s="2"/>
      <c r="G401" s="2">
        <v>35</v>
      </c>
      <c r="H401" s="2"/>
      <c r="I401" s="73"/>
      <c r="J401" s="74">
        <v>50</v>
      </c>
      <c r="K401" s="74">
        <v>50</v>
      </c>
      <c r="L401" s="74"/>
      <c r="M401" s="74">
        <v>25</v>
      </c>
      <c r="N401" s="74">
        <v>55</v>
      </c>
      <c r="O401" s="74"/>
      <c r="P401" s="104"/>
      <c r="Q401" s="104"/>
      <c r="R401" s="104"/>
      <c r="S401" s="104"/>
      <c r="T401" s="104"/>
      <c r="U401" s="105"/>
      <c r="V401" s="2">
        <f t="shared" ref="V401:V424" si="363">SUM(F401:U401)</f>
        <v>215</v>
      </c>
      <c r="W401" s="10"/>
      <c r="X401" s="11">
        <f t="shared" ref="X401:X424" si="364">D401-V401</f>
        <v>-106</v>
      </c>
      <c r="Y401" s="10"/>
      <c r="Z401" s="12">
        <f>142-F401-H401</f>
        <v>142</v>
      </c>
      <c r="AA401" s="12">
        <f>342-J401-K401-L401-M401-N401</f>
        <v>162</v>
      </c>
      <c r="AB401" s="2">
        <f>Z401+AA401</f>
        <v>304</v>
      </c>
      <c r="AC401" s="2">
        <f t="shared" ref="AC401:AC424" si="365">Z401+AA401-X401</f>
        <v>410</v>
      </c>
      <c r="AE401" s="9" t="s">
        <v>19</v>
      </c>
      <c r="AF401" s="314">
        <v>49</v>
      </c>
      <c r="AG401" s="99">
        <f>ROUND(Load!$N$43+'2022'!$E$426*0.485/720,0)</f>
        <v>60</v>
      </c>
      <c r="AH401" s="2">
        <f t="shared" ref="AH401:AH424" si="366">SUM(AF401:AG401)</f>
        <v>109</v>
      </c>
      <c r="AI401" s="9" t="s">
        <v>19</v>
      </c>
      <c r="AJ401" s="2"/>
      <c r="AK401" s="2">
        <v>35</v>
      </c>
      <c r="AL401" s="2"/>
      <c r="AM401" s="73"/>
      <c r="AN401" s="74">
        <v>50</v>
      </c>
      <c r="AO401" s="74">
        <v>50</v>
      </c>
      <c r="AP401" s="74">
        <v>25</v>
      </c>
      <c r="AQ401" s="74">
        <v>55</v>
      </c>
      <c r="AR401" s="74"/>
      <c r="AS401" s="74"/>
      <c r="AT401" s="104"/>
      <c r="AU401" s="104"/>
      <c r="AV401" s="104"/>
      <c r="AW401" s="104"/>
      <c r="AX401" s="104"/>
      <c r="AY401" s="105"/>
      <c r="AZ401" s="2">
        <f t="shared" ref="AZ401:AZ424" si="367">SUM(AJ401:AY401)</f>
        <v>215</v>
      </c>
      <c r="BA401" s="10"/>
      <c r="BB401" s="11">
        <f t="shared" ref="BB401:BB424" si="368">AH401-AZ401</f>
        <v>-106</v>
      </c>
      <c r="BC401" s="10"/>
      <c r="BD401" s="12">
        <f>142-AJ401-AL401</f>
        <v>142</v>
      </c>
      <c r="BE401" s="12">
        <f>342-AN401-AO401-AP401-AQ401</f>
        <v>162</v>
      </c>
      <c r="BF401" s="2">
        <f t="shared" ref="BF401:BF424" si="369">BD401+BE401</f>
        <v>304</v>
      </c>
      <c r="BG401" s="2">
        <f t="shared" ref="BG401:BG424" si="370">BD401+BE401-BB401</f>
        <v>410</v>
      </c>
    </row>
    <row r="402" spans="1:59" x14ac:dyDescent="0.3">
      <c r="A402" s="9" t="s">
        <v>20</v>
      </c>
      <c r="B402" s="314">
        <v>49</v>
      </c>
      <c r="C402" s="99">
        <f>ROUND(Load!$N$43+'2022'!$E$426*0.485/720,0)</f>
        <v>60</v>
      </c>
      <c r="D402" s="2">
        <f t="shared" si="362"/>
        <v>109</v>
      </c>
      <c r="E402" s="9" t="s">
        <v>20</v>
      </c>
      <c r="F402" s="2"/>
      <c r="G402" s="2">
        <v>35</v>
      </c>
      <c r="H402" s="2"/>
      <c r="I402" s="77"/>
      <c r="J402" s="78">
        <v>50</v>
      </c>
      <c r="K402" s="78">
        <v>50</v>
      </c>
      <c r="L402" s="78"/>
      <c r="M402" s="78">
        <v>25</v>
      </c>
      <c r="N402" s="78">
        <v>55</v>
      </c>
      <c r="O402" s="78"/>
      <c r="P402" s="108"/>
      <c r="Q402" s="108"/>
      <c r="R402" s="108"/>
      <c r="S402" s="108"/>
      <c r="T402" s="108"/>
      <c r="U402" s="109"/>
      <c r="V402" s="2">
        <f t="shared" si="363"/>
        <v>215</v>
      </c>
      <c r="W402" s="10"/>
      <c r="X402" s="11">
        <f t="shared" si="364"/>
        <v>-106</v>
      </c>
      <c r="Y402" s="10"/>
      <c r="Z402" s="12">
        <f t="shared" ref="Z402:Z424" si="371">142-F402-H402</f>
        <v>142</v>
      </c>
      <c r="AA402" s="12">
        <f t="shared" ref="AA402:AA406" si="372">342-J402-K402-L402-M402-N402</f>
        <v>162</v>
      </c>
      <c r="AB402" s="2">
        <f t="shared" ref="AB402:AB424" si="373">Z402+AA402</f>
        <v>304</v>
      </c>
      <c r="AC402" s="2">
        <f t="shared" si="365"/>
        <v>410</v>
      </c>
      <c r="AE402" s="9" t="s">
        <v>20</v>
      </c>
      <c r="AF402" s="314">
        <v>49</v>
      </c>
      <c r="AG402" s="2">
        <f>ROUND(Load!$N$43+'2022'!$E$426*0.485/720,0)</f>
        <v>60</v>
      </c>
      <c r="AH402" s="2">
        <f t="shared" si="366"/>
        <v>109</v>
      </c>
      <c r="AI402" s="9" t="s">
        <v>20</v>
      </c>
      <c r="AJ402" s="2"/>
      <c r="AK402" s="2">
        <v>35</v>
      </c>
      <c r="AL402" s="2"/>
      <c r="AM402" s="77"/>
      <c r="AN402" s="78">
        <v>50</v>
      </c>
      <c r="AO402" s="78">
        <v>50</v>
      </c>
      <c r="AP402" s="78">
        <v>25</v>
      </c>
      <c r="AQ402" s="78">
        <v>55</v>
      </c>
      <c r="AR402" s="78"/>
      <c r="AS402" s="78"/>
      <c r="AT402" s="108"/>
      <c r="AU402" s="108"/>
      <c r="AV402" s="108"/>
      <c r="AW402" s="108"/>
      <c r="AX402" s="108"/>
      <c r="AY402" s="109"/>
      <c r="AZ402" s="2">
        <f t="shared" si="367"/>
        <v>215</v>
      </c>
      <c r="BA402" s="10"/>
      <c r="BB402" s="11">
        <f t="shared" si="368"/>
        <v>-106</v>
      </c>
      <c r="BC402" s="10"/>
      <c r="BD402" s="12">
        <f t="shared" ref="BD402:BD424" si="374">142-AJ402-AL402</f>
        <v>142</v>
      </c>
      <c r="BE402" s="12">
        <f t="shared" ref="BE402:BE424" si="375">342-AN402-AO402-AP402-AQ402</f>
        <v>162</v>
      </c>
      <c r="BF402" s="2">
        <f t="shared" si="369"/>
        <v>304</v>
      </c>
      <c r="BG402" s="2">
        <f t="shared" si="370"/>
        <v>410</v>
      </c>
    </row>
    <row r="403" spans="1:59" x14ac:dyDescent="0.3">
      <c r="A403" s="9" t="s">
        <v>21</v>
      </c>
      <c r="B403" s="314">
        <v>49</v>
      </c>
      <c r="C403" s="99">
        <f>ROUND(Load!$N$43+'2022'!$E$426*0.485/720,0)</f>
        <v>60</v>
      </c>
      <c r="D403" s="2">
        <f t="shared" si="362"/>
        <v>109</v>
      </c>
      <c r="E403" s="9" t="s">
        <v>21</v>
      </c>
      <c r="F403" s="2"/>
      <c r="G403" s="2">
        <v>35</v>
      </c>
      <c r="H403" s="2"/>
      <c r="I403" s="77"/>
      <c r="J403" s="78">
        <v>50</v>
      </c>
      <c r="K403" s="78">
        <v>50</v>
      </c>
      <c r="L403" s="78"/>
      <c r="M403" s="78">
        <v>25</v>
      </c>
      <c r="N403" s="78">
        <v>55</v>
      </c>
      <c r="O403" s="78"/>
      <c r="P403" s="108"/>
      <c r="Q403" s="108"/>
      <c r="R403" s="108"/>
      <c r="S403" s="108"/>
      <c r="T403" s="108"/>
      <c r="U403" s="109"/>
      <c r="V403" s="2">
        <f t="shared" si="363"/>
        <v>215</v>
      </c>
      <c r="W403" s="10"/>
      <c r="X403" s="11">
        <f t="shared" si="364"/>
        <v>-106</v>
      </c>
      <c r="Y403" s="10"/>
      <c r="Z403" s="12">
        <f t="shared" si="371"/>
        <v>142</v>
      </c>
      <c r="AA403" s="12">
        <f t="shared" si="372"/>
        <v>162</v>
      </c>
      <c r="AB403" s="2">
        <f t="shared" si="373"/>
        <v>304</v>
      </c>
      <c r="AC403" s="2">
        <f t="shared" si="365"/>
        <v>410</v>
      </c>
      <c r="AE403" s="9" t="s">
        <v>21</v>
      </c>
      <c r="AF403" s="314">
        <v>49</v>
      </c>
      <c r="AG403" s="2">
        <f>ROUND(Load!$N$43+'2022'!$E$426*0.485/720,0)</f>
        <v>60</v>
      </c>
      <c r="AH403" s="2">
        <f t="shared" si="366"/>
        <v>109</v>
      </c>
      <c r="AI403" s="9" t="s">
        <v>21</v>
      </c>
      <c r="AJ403" s="2"/>
      <c r="AK403" s="2">
        <v>35</v>
      </c>
      <c r="AL403" s="2"/>
      <c r="AM403" s="77"/>
      <c r="AN403" s="78">
        <v>50</v>
      </c>
      <c r="AO403" s="78">
        <v>50</v>
      </c>
      <c r="AP403" s="78">
        <v>25</v>
      </c>
      <c r="AQ403" s="78">
        <v>55</v>
      </c>
      <c r="AR403" s="78"/>
      <c r="AS403" s="78"/>
      <c r="AT403" s="108"/>
      <c r="AU403" s="108"/>
      <c r="AV403" s="108"/>
      <c r="AW403" s="108"/>
      <c r="AX403" s="108"/>
      <c r="AY403" s="109"/>
      <c r="AZ403" s="2">
        <f t="shared" si="367"/>
        <v>215</v>
      </c>
      <c r="BA403" s="10"/>
      <c r="BB403" s="11">
        <f t="shared" si="368"/>
        <v>-106</v>
      </c>
      <c r="BC403" s="10"/>
      <c r="BD403" s="12">
        <f t="shared" si="374"/>
        <v>142</v>
      </c>
      <c r="BE403" s="12">
        <f t="shared" si="375"/>
        <v>162</v>
      </c>
      <c r="BF403" s="2">
        <f t="shared" si="369"/>
        <v>304</v>
      </c>
      <c r="BG403" s="2">
        <f t="shared" si="370"/>
        <v>410</v>
      </c>
    </row>
    <row r="404" spans="1:59" x14ac:dyDescent="0.3">
      <c r="A404" s="9" t="s">
        <v>22</v>
      </c>
      <c r="B404" s="314">
        <v>49</v>
      </c>
      <c r="C404" s="99">
        <f>ROUND(Load!$N$43+'2022'!$E$426*0.485/720,0)</f>
        <v>60</v>
      </c>
      <c r="D404" s="2">
        <f t="shared" si="362"/>
        <v>109</v>
      </c>
      <c r="E404" s="9" t="s">
        <v>22</v>
      </c>
      <c r="F404" s="2"/>
      <c r="G404" s="2">
        <v>35</v>
      </c>
      <c r="H404" s="2"/>
      <c r="I404" s="77"/>
      <c r="J404" s="78">
        <v>50</v>
      </c>
      <c r="K404" s="78">
        <v>50</v>
      </c>
      <c r="L404" s="78"/>
      <c r="M404" s="78">
        <v>25</v>
      </c>
      <c r="N404" s="78">
        <v>55</v>
      </c>
      <c r="O404" s="78"/>
      <c r="P404" s="108"/>
      <c r="Q404" s="108"/>
      <c r="R404" s="108"/>
      <c r="S404" s="108"/>
      <c r="T404" s="108"/>
      <c r="U404" s="109"/>
      <c r="V404" s="2">
        <f t="shared" si="363"/>
        <v>215</v>
      </c>
      <c r="W404" s="10"/>
      <c r="X404" s="11">
        <f t="shared" si="364"/>
        <v>-106</v>
      </c>
      <c r="Y404" s="10"/>
      <c r="Z404" s="12">
        <f t="shared" si="371"/>
        <v>142</v>
      </c>
      <c r="AA404" s="12">
        <f t="shared" si="372"/>
        <v>162</v>
      </c>
      <c r="AB404" s="2">
        <f t="shared" si="373"/>
        <v>304</v>
      </c>
      <c r="AC404" s="2">
        <f t="shared" si="365"/>
        <v>410</v>
      </c>
      <c r="AE404" s="9" t="s">
        <v>22</v>
      </c>
      <c r="AF404" s="314">
        <v>49</v>
      </c>
      <c r="AG404" s="2">
        <f>ROUND(Load!$N$43+'2022'!$E$426*0.485/720,0)</f>
        <v>60</v>
      </c>
      <c r="AH404" s="2">
        <f t="shared" si="366"/>
        <v>109</v>
      </c>
      <c r="AI404" s="9" t="s">
        <v>22</v>
      </c>
      <c r="AJ404" s="2"/>
      <c r="AK404" s="2">
        <v>35</v>
      </c>
      <c r="AL404" s="2"/>
      <c r="AM404" s="77"/>
      <c r="AN404" s="78">
        <v>50</v>
      </c>
      <c r="AO404" s="78">
        <v>50</v>
      </c>
      <c r="AP404" s="78">
        <v>25</v>
      </c>
      <c r="AQ404" s="78">
        <v>55</v>
      </c>
      <c r="AR404" s="78"/>
      <c r="AS404" s="78"/>
      <c r="AT404" s="108"/>
      <c r="AU404" s="108"/>
      <c r="AV404" s="108"/>
      <c r="AW404" s="108"/>
      <c r="AX404" s="108"/>
      <c r="AY404" s="109"/>
      <c r="AZ404" s="2">
        <f t="shared" si="367"/>
        <v>215</v>
      </c>
      <c r="BA404" s="10"/>
      <c r="BB404" s="11">
        <f t="shared" si="368"/>
        <v>-106</v>
      </c>
      <c r="BC404" s="10"/>
      <c r="BD404" s="12">
        <f t="shared" si="374"/>
        <v>142</v>
      </c>
      <c r="BE404" s="12">
        <f t="shared" si="375"/>
        <v>162</v>
      </c>
      <c r="BF404" s="2">
        <f t="shared" si="369"/>
        <v>304</v>
      </c>
      <c r="BG404" s="2">
        <f t="shared" si="370"/>
        <v>410</v>
      </c>
    </row>
    <row r="405" spans="1:59" x14ac:dyDescent="0.3">
      <c r="A405" s="9" t="s">
        <v>23</v>
      </c>
      <c r="B405" s="314">
        <v>49</v>
      </c>
      <c r="C405" s="99">
        <f>ROUND(Load!$N$43+'2022'!$E$426*0.485/720,0)</f>
        <v>60</v>
      </c>
      <c r="D405" s="2">
        <f t="shared" si="362"/>
        <v>109</v>
      </c>
      <c r="E405" s="9" t="s">
        <v>23</v>
      </c>
      <c r="F405" s="2"/>
      <c r="G405" s="2">
        <v>35</v>
      </c>
      <c r="H405" s="2"/>
      <c r="I405" s="77"/>
      <c r="J405" s="78">
        <v>50</v>
      </c>
      <c r="K405" s="78">
        <v>50</v>
      </c>
      <c r="L405" s="78"/>
      <c r="M405" s="78">
        <v>25</v>
      </c>
      <c r="N405" s="78">
        <v>55</v>
      </c>
      <c r="O405" s="78"/>
      <c r="P405" s="108"/>
      <c r="Q405" s="108"/>
      <c r="R405" s="108"/>
      <c r="S405" s="108"/>
      <c r="T405" s="108"/>
      <c r="U405" s="109"/>
      <c r="V405" s="2">
        <f t="shared" si="363"/>
        <v>215</v>
      </c>
      <c r="W405" s="10"/>
      <c r="X405" s="11">
        <f t="shared" si="364"/>
        <v>-106</v>
      </c>
      <c r="Y405" s="10"/>
      <c r="Z405" s="12">
        <f>142-F405-H405</f>
        <v>142</v>
      </c>
      <c r="AA405" s="12">
        <f t="shared" si="372"/>
        <v>162</v>
      </c>
      <c r="AB405" s="2">
        <f t="shared" si="373"/>
        <v>304</v>
      </c>
      <c r="AC405" s="2">
        <f t="shared" si="365"/>
        <v>410</v>
      </c>
      <c r="AE405" s="9" t="s">
        <v>23</v>
      </c>
      <c r="AF405" s="314">
        <v>49</v>
      </c>
      <c r="AG405" s="2">
        <f>ROUND(Load!$N$43+'2022'!$E$426*0.485/720,0)</f>
        <v>60</v>
      </c>
      <c r="AH405" s="2">
        <f t="shared" si="366"/>
        <v>109</v>
      </c>
      <c r="AI405" s="9" t="s">
        <v>23</v>
      </c>
      <c r="AJ405" s="2"/>
      <c r="AK405" s="2">
        <v>35</v>
      </c>
      <c r="AL405" s="2"/>
      <c r="AM405" s="77"/>
      <c r="AN405" s="78">
        <v>50</v>
      </c>
      <c r="AO405" s="78">
        <v>50</v>
      </c>
      <c r="AP405" s="78">
        <v>25</v>
      </c>
      <c r="AQ405" s="78">
        <v>55</v>
      </c>
      <c r="AR405" s="78"/>
      <c r="AS405" s="78"/>
      <c r="AT405" s="108"/>
      <c r="AU405" s="108"/>
      <c r="AV405" s="108"/>
      <c r="AW405" s="108"/>
      <c r="AX405" s="108"/>
      <c r="AY405" s="109"/>
      <c r="AZ405" s="2">
        <f t="shared" si="367"/>
        <v>215</v>
      </c>
      <c r="BA405" s="10"/>
      <c r="BB405" s="11">
        <f t="shared" si="368"/>
        <v>-106</v>
      </c>
      <c r="BC405" s="10"/>
      <c r="BD405" s="12">
        <f t="shared" si="374"/>
        <v>142</v>
      </c>
      <c r="BE405" s="12">
        <f t="shared" si="375"/>
        <v>162</v>
      </c>
      <c r="BF405" s="2">
        <f t="shared" si="369"/>
        <v>304</v>
      </c>
      <c r="BG405" s="2">
        <f t="shared" si="370"/>
        <v>410</v>
      </c>
    </row>
    <row r="406" spans="1:59" x14ac:dyDescent="0.3">
      <c r="A406" s="9" t="s">
        <v>24</v>
      </c>
      <c r="B406" s="314">
        <v>49</v>
      </c>
      <c r="C406" s="99">
        <f>ROUND(Load!$N$43+'2022'!$E$426*0.485/720,0)</f>
        <v>60</v>
      </c>
      <c r="D406" s="2">
        <f t="shared" si="362"/>
        <v>109</v>
      </c>
      <c r="E406" s="9" t="s">
        <v>24</v>
      </c>
      <c r="F406" s="2"/>
      <c r="G406" s="2">
        <v>35</v>
      </c>
      <c r="H406" s="2"/>
      <c r="I406" s="77"/>
      <c r="J406" s="78">
        <v>50</v>
      </c>
      <c r="K406" s="78">
        <v>50</v>
      </c>
      <c r="L406" s="78"/>
      <c r="M406" s="78">
        <v>25</v>
      </c>
      <c r="N406" s="78">
        <v>55</v>
      </c>
      <c r="O406" s="78"/>
      <c r="P406" s="108"/>
      <c r="Q406" s="108"/>
      <c r="R406" s="108"/>
      <c r="S406" s="108"/>
      <c r="T406" s="108"/>
      <c r="U406" s="109"/>
      <c r="V406" s="2">
        <f t="shared" si="363"/>
        <v>215</v>
      </c>
      <c r="W406" s="10"/>
      <c r="X406" s="11">
        <f t="shared" si="364"/>
        <v>-106</v>
      </c>
      <c r="Y406" s="10"/>
      <c r="Z406" s="12">
        <f t="shared" si="371"/>
        <v>142</v>
      </c>
      <c r="AA406" s="12">
        <f t="shared" si="372"/>
        <v>162</v>
      </c>
      <c r="AB406" s="2">
        <f t="shared" si="373"/>
        <v>304</v>
      </c>
      <c r="AC406" s="2">
        <f t="shared" si="365"/>
        <v>410</v>
      </c>
      <c r="AE406" s="9" t="s">
        <v>24</v>
      </c>
      <c r="AF406" s="314">
        <v>49</v>
      </c>
      <c r="AG406" s="2">
        <f>ROUND(Load!$N$43+'2022'!$E$426*0.485/720,0)</f>
        <v>60</v>
      </c>
      <c r="AH406" s="2">
        <f t="shared" si="366"/>
        <v>109</v>
      </c>
      <c r="AI406" s="9" t="s">
        <v>24</v>
      </c>
      <c r="AJ406" s="2"/>
      <c r="AK406" s="2">
        <v>35</v>
      </c>
      <c r="AL406" s="2"/>
      <c r="AM406" s="77"/>
      <c r="AN406" s="78">
        <v>50</v>
      </c>
      <c r="AO406" s="78">
        <v>50</v>
      </c>
      <c r="AP406" s="78">
        <v>25</v>
      </c>
      <c r="AQ406" s="78">
        <v>55</v>
      </c>
      <c r="AR406" s="78"/>
      <c r="AS406" s="78"/>
      <c r="AT406" s="108"/>
      <c r="AU406" s="108"/>
      <c r="AV406" s="108"/>
      <c r="AW406" s="108"/>
      <c r="AX406" s="108"/>
      <c r="AY406" s="109"/>
      <c r="AZ406" s="2">
        <f t="shared" si="367"/>
        <v>215</v>
      </c>
      <c r="BA406" s="10"/>
      <c r="BB406" s="11">
        <f t="shared" si="368"/>
        <v>-106</v>
      </c>
      <c r="BC406" s="10"/>
      <c r="BD406" s="12">
        <f t="shared" si="374"/>
        <v>142</v>
      </c>
      <c r="BE406" s="12">
        <f t="shared" si="375"/>
        <v>162</v>
      </c>
      <c r="BF406" s="2">
        <f t="shared" si="369"/>
        <v>304</v>
      </c>
      <c r="BG406" s="2">
        <f t="shared" si="370"/>
        <v>410</v>
      </c>
    </row>
    <row r="407" spans="1:59" x14ac:dyDescent="0.3">
      <c r="A407" s="9" t="s">
        <v>25</v>
      </c>
      <c r="B407" s="2"/>
      <c r="C407" s="99">
        <f>ROUND(Load!$N$43+'2022'!$E$426*0.485/720,0)</f>
        <v>60</v>
      </c>
      <c r="D407" s="2">
        <f t="shared" si="362"/>
        <v>60</v>
      </c>
      <c r="E407" s="9" t="s">
        <v>25</v>
      </c>
      <c r="F407" s="2">
        <f>'Hoover with 30 MW Solar'!$L$39</f>
        <v>27</v>
      </c>
      <c r="G407" s="2">
        <v>35</v>
      </c>
      <c r="H407" s="2">
        <v>41</v>
      </c>
      <c r="I407" s="77">
        <v>50</v>
      </c>
      <c r="J407" s="78"/>
      <c r="K407" s="78"/>
      <c r="L407" s="78">
        <v>50</v>
      </c>
      <c r="M407" s="78">
        <v>25</v>
      </c>
      <c r="N407" s="78"/>
      <c r="O407" s="78"/>
      <c r="P407" s="108"/>
      <c r="Q407" s="108"/>
      <c r="R407" s="108"/>
      <c r="S407" s="108"/>
      <c r="T407" s="108"/>
      <c r="U407" s="109">
        <v>-12</v>
      </c>
      <c r="V407" s="2">
        <f t="shared" si="363"/>
        <v>216</v>
      </c>
      <c r="W407" s="10"/>
      <c r="X407" s="13">
        <f t="shared" si="364"/>
        <v>-156</v>
      </c>
      <c r="Y407" s="10"/>
      <c r="Z407" s="14">
        <f t="shared" si="371"/>
        <v>74</v>
      </c>
      <c r="AA407" s="14">
        <f>217-J407-K407-L407-M407-N407</f>
        <v>142</v>
      </c>
      <c r="AB407" s="2">
        <f t="shared" si="373"/>
        <v>216</v>
      </c>
      <c r="AC407" s="2">
        <f t="shared" si="365"/>
        <v>372</v>
      </c>
      <c r="AE407" s="9" t="s">
        <v>25</v>
      </c>
      <c r="AF407" s="314"/>
      <c r="AG407" s="2">
        <f>ROUND(Load!$N$43+'2022'!$E$426*0.485/720,0)</f>
        <v>60</v>
      </c>
      <c r="AH407" s="2">
        <f t="shared" si="366"/>
        <v>60</v>
      </c>
      <c r="AI407" s="9" t="s">
        <v>25</v>
      </c>
      <c r="AJ407" s="2">
        <f>'Hoover with 30 MW Solar'!$L$39</f>
        <v>27</v>
      </c>
      <c r="AK407" s="2">
        <v>35</v>
      </c>
      <c r="AL407" s="2">
        <v>40</v>
      </c>
      <c r="AM407" s="77">
        <v>50</v>
      </c>
      <c r="AN407" s="78">
        <v>50</v>
      </c>
      <c r="AO407" s="78">
        <v>50</v>
      </c>
      <c r="AP407" s="78">
        <v>25</v>
      </c>
      <c r="AQ407" s="78">
        <v>55</v>
      </c>
      <c r="AR407" s="78"/>
      <c r="AS407" s="78"/>
      <c r="AT407" s="108"/>
      <c r="AU407" s="108"/>
      <c r="AV407" s="108"/>
      <c r="AW407" s="108"/>
      <c r="AX407" s="108"/>
      <c r="AY407" s="109">
        <v>-12</v>
      </c>
      <c r="AZ407" s="2">
        <f t="shared" si="367"/>
        <v>320</v>
      </c>
      <c r="BA407" s="10"/>
      <c r="BB407" s="13">
        <f t="shared" si="368"/>
        <v>-260</v>
      </c>
      <c r="BC407" s="10"/>
      <c r="BD407" s="14">
        <f t="shared" si="374"/>
        <v>75</v>
      </c>
      <c r="BE407" s="14">
        <f t="shared" si="375"/>
        <v>162</v>
      </c>
      <c r="BF407" s="2">
        <f t="shared" si="369"/>
        <v>237</v>
      </c>
      <c r="BG407" s="2">
        <f t="shared" si="370"/>
        <v>497</v>
      </c>
    </row>
    <row r="408" spans="1:59" x14ac:dyDescent="0.3">
      <c r="A408" s="9" t="s">
        <v>26</v>
      </c>
      <c r="B408" s="2"/>
      <c r="C408" s="99">
        <f>ROUND(Load!$N$43+'2022'!$E$426*0.485/720,0)</f>
        <v>60</v>
      </c>
      <c r="D408" s="2">
        <f t="shared" si="362"/>
        <v>60</v>
      </c>
      <c r="E408" s="9" t="s">
        <v>26</v>
      </c>
      <c r="F408" s="2">
        <f>'Hoover with 30 MW Solar'!$L$39</f>
        <v>27</v>
      </c>
      <c r="G408" s="2">
        <v>35</v>
      </c>
      <c r="H408" s="2">
        <v>40</v>
      </c>
      <c r="I408" s="77">
        <v>50</v>
      </c>
      <c r="J408" s="78"/>
      <c r="K408" s="78"/>
      <c r="L408" s="78">
        <v>50</v>
      </c>
      <c r="M408" s="78">
        <v>25</v>
      </c>
      <c r="N408" s="78"/>
      <c r="O408" s="78"/>
      <c r="P408" s="108"/>
      <c r="Q408" s="108"/>
      <c r="R408" s="108"/>
      <c r="S408" s="108"/>
      <c r="T408" s="108"/>
      <c r="U408" s="109">
        <v>-12</v>
      </c>
      <c r="V408" s="2">
        <f t="shared" si="363"/>
        <v>215</v>
      </c>
      <c r="W408" s="10"/>
      <c r="X408" s="13">
        <f t="shared" si="364"/>
        <v>-155</v>
      </c>
      <c r="Y408" s="10"/>
      <c r="Z408" s="14">
        <f t="shared" si="371"/>
        <v>75</v>
      </c>
      <c r="AA408" s="14">
        <f t="shared" ref="AA408:AA422" si="376">217-J408-K408-L408-M408-N408</f>
        <v>142</v>
      </c>
      <c r="AB408" s="2">
        <f t="shared" si="373"/>
        <v>217</v>
      </c>
      <c r="AC408" s="2">
        <f t="shared" si="365"/>
        <v>372</v>
      </c>
      <c r="AE408" s="9" t="s">
        <v>26</v>
      </c>
      <c r="AF408" s="314"/>
      <c r="AG408" s="2">
        <f>ROUND(Load!$N$43+'2022'!$E$426*0.485/720,0)</f>
        <v>60</v>
      </c>
      <c r="AH408" s="2">
        <f t="shared" si="366"/>
        <v>60</v>
      </c>
      <c r="AI408" s="9" t="s">
        <v>26</v>
      </c>
      <c r="AJ408" s="2">
        <f>'Hoover with 30 MW Solar'!$L$39</f>
        <v>27</v>
      </c>
      <c r="AK408" s="2">
        <v>35</v>
      </c>
      <c r="AL408" s="2">
        <v>41</v>
      </c>
      <c r="AM408" s="77">
        <v>50</v>
      </c>
      <c r="AN408" s="78">
        <v>50</v>
      </c>
      <c r="AO408" s="78">
        <v>50</v>
      </c>
      <c r="AP408" s="78">
        <v>25</v>
      </c>
      <c r="AQ408" s="78">
        <v>55</v>
      </c>
      <c r="AR408" s="78"/>
      <c r="AS408" s="78"/>
      <c r="AT408" s="108"/>
      <c r="AU408" s="108"/>
      <c r="AV408" s="108"/>
      <c r="AW408" s="108"/>
      <c r="AX408" s="108"/>
      <c r="AY408" s="109">
        <v>-12</v>
      </c>
      <c r="AZ408" s="2">
        <f t="shared" si="367"/>
        <v>321</v>
      </c>
      <c r="BA408" s="10"/>
      <c r="BB408" s="13">
        <f t="shared" si="368"/>
        <v>-261</v>
      </c>
      <c r="BC408" s="10"/>
      <c r="BD408" s="14">
        <f t="shared" si="374"/>
        <v>74</v>
      </c>
      <c r="BE408" s="14">
        <f t="shared" si="375"/>
        <v>162</v>
      </c>
      <c r="BF408" s="2">
        <f t="shared" si="369"/>
        <v>236</v>
      </c>
      <c r="BG408" s="2">
        <f t="shared" si="370"/>
        <v>497</v>
      </c>
    </row>
    <row r="409" spans="1:59" x14ac:dyDescent="0.3">
      <c r="A409" s="9" t="s">
        <v>27</v>
      </c>
      <c r="B409" s="2"/>
      <c r="C409" s="99">
        <f>ROUND(Load!$N$43+'2022'!$E$426*0.485/720,0)</f>
        <v>60</v>
      </c>
      <c r="D409" s="2">
        <f t="shared" si="362"/>
        <v>60</v>
      </c>
      <c r="E409" s="9" t="s">
        <v>27</v>
      </c>
      <c r="F409" s="2">
        <f>'Hoover with 30 MW Solar'!$L$39</f>
        <v>27</v>
      </c>
      <c r="G409" s="2">
        <v>35</v>
      </c>
      <c r="H409" s="2"/>
      <c r="I409" s="77">
        <v>50</v>
      </c>
      <c r="J409" s="78"/>
      <c r="K409" s="78"/>
      <c r="L409" s="78">
        <v>50</v>
      </c>
      <c r="M409" s="78">
        <v>25</v>
      </c>
      <c r="N409" s="78"/>
      <c r="O409" s="78"/>
      <c r="P409" s="108"/>
      <c r="Q409" s="108"/>
      <c r="R409" s="108"/>
      <c r="S409" s="108"/>
      <c r="T409" s="108"/>
      <c r="U409" s="109">
        <v>-12</v>
      </c>
      <c r="V409" s="2">
        <f t="shared" si="363"/>
        <v>175</v>
      </c>
      <c r="W409" s="10"/>
      <c r="X409" s="13">
        <f t="shared" si="364"/>
        <v>-115</v>
      </c>
      <c r="Y409" s="10"/>
      <c r="Z409" s="14">
        <f t="shared" si="371"/>
        <v>115</v>
      </c>
      <c r="AA409" s="14">
        <f t="shared" si="376"/>
        <v>142</v>
      </c>
      <c r="AB409" s="2">
        <f t="shared" si="373"/>
        <v>257</v>
      </c>
      <c r="AC409" s="2">
        <f t="shared" si="365"/>
        <v>372</v>
      </c>
      <c r="AE409" s="9" t="s">
        <v>27</v>
      </c>
      <c r="AF409" s="314"/>
      <c r="AG409" s="2">
        <f>ROUND(Load!$N$43+'2022'!$E$426*0.485/720,0)</f>
        <v>60</v>
      </c>
      <c r="AH409" s="2">
        <f t="shared" si="366"/>
        <v>60</v>
      </c>
      <c r="AI409" s="9" t="s">
        <v>27</v>
      </c>
      <c r="AJ409" s="2">
        <f>'Hoover with 30 MW Solar'!$L$39</f>
        <v>27</v>
      </c>
      <c r="AK409" s="2">
        <v>35</v>
      </c>
      <c r="AL409" s="2"/>
      <c r="AM409" s="77">
        <v>50</v>
      </c>
      <c r="AN409" s="78">
        <v>50</v>
      </c>
      <c r="AO409" s="78">
        <v>50</v>
      </c>
      <c r="AP409" s="78">
        <v>25</v>
      </c>
      <c r="AQ409" s="78">
        <v>55</v>
      </c>
      <c r="AR409" s="78"/>
      <c r="AS409" s="78"/>
      <c r="AT409" s="108"/>
      <c r="AU409" s="108"/>
      <c r="AV409" s="108"/>
      <c r="AW409" s="108"/>
      <c r="AX409" s="108"/>
      <c r="AY409" s="109">
        <v>-12</v>
      </c>
      <c r="AZ409" s="2">
        <f t="shared" si="367"/>
        <v>280</v>
      </c>
      <c r="BA409" s="10"/>
      <c r="BB409" s="13">
        <f t="shared" si="368"/>
        <v>-220</v>
      </c>
      <c r="BC409" s="10"/>
      <c r="BD409" s="14">
        <f t="shared" si="374"/>
        <v>115</v>
      </c>
      <c r="BE409" s="14">
        <f t="shared" si="375"/>
        <v>162</v>
      </c>
      <c r="BF409" s="2">
        <f t="shared" si="369"/>
        <v>277</v>
      </c>
      <c r="BG409" s="2">
        <f t="shared" si="370"/>
        <v>497</v>
      </c>
    </row>
    <row r="410" spans="1:59" x14ac:dyDescent="0.3">
      <c r="A410" s="9" t="s">
        <v>28</v>
      </c>
      <c r="B410" s="2">
        <v>289</v>
      </c>
      <c r="C410" s="99">
        <f>ROUND(Load!$N$43+'2022'!$E$426*0.485/720,0)</f>
        <v>60</v>
      </c>
      <c r="D410" s="2">
        <f t="shared" si="362"/>
        <v>349</v>
      </c>
      <c r="E410" s="9" t="s">
        <v>28</v>
      </c>
      <c r="F410" s="2">
        <f>'Hoover with 30 MW Solar'!$L$39</f>
        <v>27</v>
      </c>
      <c r="G410" s="2">
        <v>35</v>
      </c>
      <c r="H410" s="2"/>
      <c r="I410" s="77">
        <v>50</v>
      </c>
      <c r="J410" s="78"/>
      <c r="K410" s="78"/>
      <c r="L410" s="78">
        <v>50</v>
      </c>
      <c r="M410" s="78">
        <v>25</v>
      </c>
      <c r="N410" s="78"/>
      <c r="O410" s="78"/>
      <c r="P410" s="108"/>
      <c r="Q410" s="108"/>
      <c r="R410" s="108"/>
      <c r="S410" s="108"/>
      <c r="T410" s="108"/>
      <c r="U410" s="109">
        <v>-12</v>
      </c>
      <c r="V410" s="2">
        <f t="shared" si="363"/>
        <v>175</v>
      </c>
      <c r="W410" s="10"/>
      <c r="X410" s="13">
        <f t="shared" si="364"/>
        <v>174</v>
      </c>
      <c r="Y410" s="10"/>
      <c r="Z410" s="14">
        <f t="shared" si="371"/>
        <v>115</v>
      </c>
      <c r="AA410" s="14">
        <f t="shared" si="376"/>
        <v>142</v>
      </c>
      <c r="AB410" s="2">
        <f t="shared" si="373"/>
        <v>257</v>
      </c>
      <c r="AC410" s="2">
        <f t="shared" si="365"/>
        <v>83</v>
      </c>
      <c r="AE410" s="9" t="s">
        <v>28</v>
      </c>
      <c r="AF410" s="314">
        <v>289</v>
      </c>
      <c r="AG410" s="2">
        <f>ROUND(Load!$N$43+'2022'!$E$426*0.485/720,0)</f>
        <v>60</v>
      </c>
      <c r="AH410" s="2">
        <f t="shared" si="366"/>
        <v>349</v>
      </c>
      <c r="AI410" s="9" t="s">
        <v>28</v>
      </c>
      <c r="AJ410" s="2">
        <f>'Hoover with 30 MW Solar'!$L$39</f>
        <v>27</v>
      </c>
      <c r="AK410" s="2">
        <v>35</v>
      </c>
      <c r="AL410" s="2"/>
      <c r="AM410" s="77">
        <v>50</v>
      </c>
      <c r="AN410" s="78">
        <v>50</v>
      </c>
      <c r="AO410" s="78">
        <v>50</v>
      </c>
      <c r="AP410" s="78">
        <v>25</v>
      </c>
      <c r="AQ410" s="78">
        <v>55</v>
      </c>
      <c r="AR410" s="78"/>
      <c r="AS410" s="78"/>
      <c r="AT410" s="108"/>
      <c r="AU410" s="108"/>
      <c r="AV410" s="108"/>
      <c r="AW410" s="108"/>
      <c r="AX410" s="108"/>
      <c r="AY410" s="109">
        <v>-12</v>
      </c>
      <c r="AZ410" s="2">
        <f t="shared" si="367"/>
        <v>280</v>
      </c>
      <c r="BA410" s="10"/>
      <c r="BB410" s="13">
        <f t="shared" si="368"/>
        <v>69</v>
      </c>
      <c r="BC410" s="10"/>
      <c r="BD410" s="14">
        <f t="shared" si="374"/>
        <v>115</v>
      </c>
      <c r="BE410" s="14">
        <f t="shared" si="375"/>
        <v>162</v>
      </c>
      <c r="BF410" s="2">
        <f t="shared" si="369"/>
        <v>277</v>
      </c>
      <c r="BG410" s="2">
        <f t="shared" si="370"/>
        <v>208</v>
      </c>
    </row>
    <row r="411" spans="1:59" x14ac:dyDescent="0.3">
      <c r="A411" s="9" t="s">
        <v>29</v>
      </c>
      <c r="B411" s="2">
        <v>289</v>
      </c>
      <c r="C411" s="99">
        <f>ROUND(Load!$N$43+'2022'!$E$426*0.485/720,0)</f>
        <v>60</v>
      </c>
      <c r="D411" s="2">
        <f t="shared" si="362"/>
        <v>349</v>
      </c>
      <c r="E411" s="9" t="s">
        <v>29</v>
      </c>
      <c r="F411" s="2">
        <f>'Hoover with 30 MW Solar'!$L$39</f>
        <v>27</v>
      </c>
      <c r="G411" s="2">
        <v>35</v>
      </c>
      <c r="H411" s="2"/>
      <c r="I411" s="77">
        <v>50</v>
      </c>
      <c r="J411" s="78"/>
      <c r="K411" s="78"/>
      <c r="L411" s="78">
        <v>50</v>
      </c>
      <c r="M411" s="78">
        <v>25</v>
      </c>
      <c r="N411" s="78"/>
      <c r="O411" s="78"/>
      <c r="P411" s="108"/>
      <c r="Q411" s="108"/>
      <c r="R411" s="108"/>
      <c r="S411" s="108"/>
      <c r="T411" s="108"/>
      <c r="U411" s="109">
        <v>-12</v>
      </c>
      <c r="V411" s="2">
        <f t="shared" si="363"/>
        <v>175</v>
      </c>
      <c r="W411" s="10"/>
      <c r="X411" s="13">
        <f t="shared" si="364"/>
        <v>174</v>
      </c>
      <c r="Y411" s="10"/>
      <c r="Z411" s="14">
        <f t="shared" si="371"/>
        <v>115</v>
      </c>
      <c r="AA411" s="14">
        <f t="shared" si="376"/>
        <v>142</v>
      </c>
      <c r="AB411" s="2">
        <f t="shared" si="373"/>
        <v>257</v>
      </c>
      <c r="AC411" s="2">
        <f t="shared" si="365"/>
        <v>83</v>
      </c>
      <c r="AE411" s="9" t="s">
        <v>29</v>
      </c>
      <c r="AF411" s="314">
        <v>289</v>
      </c>
      <c r="AG411" s="2">
        <f>ROUND(Load!$N$43+'2022'!$E$426*0.485/720,0)</f>
        <v>60</v>
      </c>
      <c r="AH411" s="2">
        <f t="shared" si="366"/>
        <v>349</v>
      </c>
      <c r="AI411" s="9" t="s">
        <v>29</v>
      </c>
      <c r="AJ411" s="2">
        <f>'Hoover with 30 MW Solar'!$L$39</f>
        <v>27</v>
      </c>
      <c r="AK411" s="2">
        <v>35</v>
      </c>
      <c r="AL411" s="2"/>
      <c r="AM411" s="77">
        <v>50</v>
      </c>
      <c r="AN411" s="78">
        <v>50</v>
      </c>
      <c r="AO411" s="78">
        <v>50</v>
      </c>
      <c r="AP411" s="78">
        <v>25</v>
      </c>
      <c r="AQ411" s="78">
        <v>55</v>
      </c>
      <c r="AR411" s="78"/>
      <c r="AS411" s="78"/>
      <c r="AT411" s="108"/>
      <c r="AU411" s="108"/>
      <c r="AV411" s="108"/>
      <c r="AW411" s="108"/>
      <c r="AX411" s="108"/>
      <c r="AY411" s="109">
        <v>-12</v>
      </c>
      <c r="AZ411" s="2">
        <f t="shared" si="367"/>
        <v>280</v>
      </c>
      <c r="BA411" s="10"/>
      <c r="BB411" s="13">
        <f t="shared" si="368"/>
        <v>69</v>
      </c>
      <c r="BC411" s="10"/>
      <c r="BD411" s="14">
        <f t="shared" si="374"/>
        <v>115</v>
      </c>
      <c r="BE411" s="14">
        <f t="shared" si="375"/>
        <v>162</v>
      </c>
      <c r="BF411" s="2">
        <f t="shared" si="369"/>
        <v>277</v>
      </c>
      <c r="BG411" s="2">
        <f t="shared" si="370"/>
        <v>208</v>
      </c>
    </row>
    <row r="412" spans="1:59" x14ac:dyDescent="0.3">
      <c r="A412" s="9" t="s">
        <v>30</v>
      </c>
      <c r="B412" s="2">
        <v>289</v>
      </c>
      <c r="C412" s="99">
        <f>ROUND(Load!$N$43+'2022'!$E$426*0.485/720,0)</f>
        <v>60</v>
      </c>
      <c r="D412" s="2">
        <f t="shared" si="362"/>
        <v>349</v>
      </c>
      <c r="E412" s="9" t="s">
        <v>30</v>
      </c>
      <c r="F412" s="2">
        <f>'Hoover with 30 MW Solar'!$L$39</f>
        <v>27</v>
      </c>
      <c r="G412" s="2">
        <v>35</v>
      </c>
      <c r="H412" s="2"/>
      <c r="I412" s="77">
        <v>50</v>
      </c>
      <c r="J412" s="78"/>
      <c r="K412" s="78"/>
      <c r="L412" s="78">
        <v>50</v>
      </c>
      <c r="M412" s="78">
        <v>25</v>
      </c>
      <c r="N412" s="78"/>
      <c r="O412" s="78"/>
      <c r="P412" s="108"/>
      <c r="Q412" s="108"/>
      <c r="R412" s="108"/>
      <c r="S412" s="108"/>
      <c r="T412" s="108"/>
      <c r="U412" s="109">
        <v>-12</v>
      </c>
      <c r="V412" s="2">
        <f t="shared" si="363"/>
        <v>175</v>
      </c>
      <c r="W412" s="10"/>
      <c r="X412" s="13">
        <f t="shared" si="364"/>
        <v>174</v>
      </c>
      <c r="Y412" s="10"/>
      <c r="Z412" s="14">
        <f t="shared" si="371"/>
        <v>115</v>
      </c>
      <c r="AA412" s="14">
        <f t="shared" si="376"/>
        <v>142</v>
      </c>
      <c r="AB412" s="2">
        <f t="shared" si="373"/>
        <v>257</v>
      </c>
      <c r="AC412" s="2">
        <f t="shared" si="365"/>
        <v>83</v>
      </c>
      <c r="AE412" s="9" t="s">
        <v>30</v>
      </c>
      <c r="AF412" s="314">
        <v>289</v>
      </c>
      <c r="AG412" s="2">
        <f>ROUND(Load!$N$43+'2022'!$E$426*0.485/720,0)</f>
        <v>60</v>
      </c>
      <c r="AH412" s="2">
        <f t="shared" si="366"/>
        <v>349</v>
      </c>
      <c r="AI412" s="9" t="s">
        <v>30</v>
      </c>
      <c r="AJ412" s="2">
        <f>'Hoover with 30 MW Solar'!$L$39</f>
        <v>27</v>
      </c>
      <c r="AK412" s="2">
        <v>35</v>
      </c>
      <c r="AL412" s="2"/>
      <c r="AM412" s="77">
        <v>50</v>
      </c>
      <c r="AN412" s="78">
        <v>50</v>
      </c>
      <c r="AO412" s="78">
        <v>50</v>
      </c>
      <c r="AP412" s="78">
        <v>25</v>
      </c>
      <c r="AQ412" s="78">
        <v>55</v>
      </c>
      <c r="AR412" s="78"/>
      <c r="AS412" s="78"/>
      <c r="AT412" s="108"/>
      <c r="AU412" s="108"/>
      <c r="AV412" s="108"/>
      <c r="AW412" s="108"/>
      <c r="AX412" s="108"/>
      <c r="AY412" s="109">
        <v>-12</v>
      </c>
      <c r="AZ412" s="2">
        <f t="shared" si="367"/>
        <v>280</v>
      </c>
      <c r="BA412" s="10"/>
      <c r="BB412" s="13">
        <f t="shared" si="368"/>
        <v>69</v>
      </c>
      <c r="BC412" s="10"/>
      <c r="BD412" s="14">
        <f t="shared" si="374"/>
        <v>115</v>
      </c>
      <c r="BE412" s="14">
        <f t="shared" si="375"/>
        <v>162</v>
      </c>
      <c r="BF412" s="2">
        <f t="shared" si="369"/>
        <v>277</v>
      </c>
      <c r="BG412" s="2">
        <f t="shared" si="370"/>
        <v>208</v>
      </c>
    </row>
    <row r="413" spans="1:59" x14ac:dyDescent="0.3">
      <c r="A413" s="9" t="s">
        <v>31</v>
      </c>
      <c r="B413" s="2">
        <v>289</v>
      </c>
      <c r="C413" s="99">
        <f>ROUND(Load!$N$43+'2022'!$E$426*0.485/720,0)</f>
        <v>60</v>
      </c>
      <c r="D413" s="2">
        <f t="shared" si="362"/>
        <v>349</v>
      </c>
      <c r="E413" s="9" t="s">
        <v>31</v>
      </c>
      <c r="F413" s="2">
        <f>'Hoover with 30 MW Solar'!$L$39</f>
        <v>27</v>
      </c>
      <c r="G413" s="2">
        <v>35</v>
      </c>
      <c r="H413" s="2"/>
      <c r="I413" s="77">
        <v>50</v>
      </c>
      <c r="J413" s="78"/>
      <c r="K413" s="78"/>
      <c r="L413" s="78">
        <v>50</v>
      </c>
      <c r="M413" s="78">
        <v>25</v>
      </c>
      <c r="N413" s="78"/>
      <c r="O413" s="78"/>
      <c r="P413" s="108"/>
      <c r="Q413" s="108"/>
      <c r="R413" s="108"/>
      <c r="S413" s="108"/>
      <c r="T413" s="108"/>
      <c r="U413" s="109">
        <v>-12</v>
      </c>
      <c r="V413" s="2">
        <f t="shared" si="363"/>
        <v>175</v>
      </c>
      <c r="W413" s="10"/>
      <c r="X413" s="13">
        <f t="shared" si="364"/>
        <v>174</v>
      </c>
      <c r="Y413" s="10"/>
      <c r="Z413" s="14">
        <f t="shared" si="371"/>
        <v>115</v>
      </c>
      <c r="AA413" s="14">
        <f t="shared" si="376"/>
        <v>142</v>
      </c>
      <c r="AB413" s="2">
        <f t="shared" si="373"/>
        <v>257</v>
      </c>
      <c r="AC413" s="2">
        <f t="shared" si="365"/>
        <v>83</v>
      </c>
      <c r="AE413" s="9" t="s">
        <v>31</v>
      </c>
      <c r="AF413" s="314">
        <v>289</v>
      </c>
      <c r="AG413" s="2">
        <f>ROUND(Load!$N$43+'2022'!$E$426*0.485/720,0)</f>
        <v>60</v>
      </c>
      <c r="AH413" s="2">
        <f t="shared" si="366"/>
        <v>349</v>
      </c>
      <c r="AI413" s="9" t="s">
        <v>31</v>
      </c>
      <c r="AJ413" s="2">
        <f>'Hoover with 30 MW Solar'!$L$39</f>
        <v>27</v>
      </c>
      <c r="AK413" s="2">
        <v>35</v>
      </c>
      <c r="AL413" s="2"/>
      <c r="AM413" s="77">
        <v>50</v>
      </c>
      <c r="AN413" s="78">
        <v>50</v>
      </c>
      <c r="AO413" s="78">
        <v>50</v>
      </c>
      <c r="AP413" s="78">
        <v>25</v>
      </c>
      <c r="AQ413" s="78">
        <v>55</v>
      </c>
      <c r="AR413" s="78"/>
      <c r="AS413" s="78"/>
      <c r="AT413" s="108"/>
      <c r="AU413" s="108"/>
      <c r="AV413" s="108"/>
      <c r="AW413" s="108"/>
      <c r="AX413" s="108"/>
      <c r="AY413" s="109">
        <v>-12</v>
      </c>
      <c r="AZ413" s="2">
        <f t="shared" si="367"/>
        <v>280</v>
      </c>
      <c r="BA413" s="10"/>
      <c r="BB413" s="13">
        <f t="shared" si="368"/>
        <v>69</v>
      </c>
      <c r="BC413" s="10"/>
      <c r="BD413" s="14">
        <f t="shared" si="374"/>
        <v>115</v>
      </c>
      <c r="BE413" s="14">
        <f t="shared" si="375"/>
        <v>162</v>
      </c>
      <c r="BF413" s="2">
        <f t="shared" si="369"/>
        <v>277</v>
      </c>
      <c r="BG413" s="2">
        <f t="shared" si="370"/>
        <v>208</v>
      </c>
    </row>
    <row r="414" spans="1:59" x14ac:dyDescent="0.3">
      <c r="A414" s="9" t="s">
        <v>32</v>
      </c>
      <c r="B414" s="2">
        <v>289</v>
      </c>
      <c r="C414" s="99">
        <f>ROUND(Load!$N$43+'2022'!$E$426*0.485/720,0)</f>
        <v>60</v>
      </c>
      <c r="D414" s="2">
        <f t="shared" si="362"/>
        <v>349</v>
      </c>
      <c r="E414" s="9" t="s">
        <v>32</v>
      </c>
      <c r="F414" s="2">
        <f>'Hoover with 30 MW Solar'!$L$39</f>
        <v>27</v>
      </c>
      <c r="G414" s="2">
        <v>35</v>
      </c>
      <c r="H414" s="2"/>
      <c r="I414" s="77">
        <v>50</v>
      </c>
      <c r="J414" s="78"/>
      <c r="K414" s="78"/>
      <c r="L414" s="78">
        <v>50</v>
      </c>
      <c r="M414" s="78">
        <v>25</v>
      </c>
      <c r="N414" s="78"/>
      <c r="O414" s="78"/>
      <c r="P414" s="108"/>
      <c r="Q414" s="108"/>
      <c r="R414" s="108"/>
      <c r="S414" s="108"/>
      <c r="T414" s="108"/>
      <c r="U414" s="109">
        <v>-12</v>
      </c>
      <c r="V414" s="2">
        <f t="shared" si="363"/>
        <v>175</v>
      </c>
      <c r="W414" s="10"/>
      <c r="X414" s="13">
        <f t="shared" si="364"/>
        <v>174</v>
      </c>
      <c r="Y414" s="10"/>
      <c r="Z414" s="14">
        <f t="shared" si="371"/>
        <v>115</v>
      </c>
      <c r="AA414" s="14">
        <f t="shared" si="376"/>
        <v>142</v>
      </c>
      <c r="AB414" s="2">
        <f t="shared" si="373"/>
        <v>257</v>
      </c>
      <c r="AC414" s="2">
        <f t="shared" si="365"/>
        <v>83</v>
      </c>
      <c r="AE414" s="9" t="s">
        <v>32</v>
      </c>
      <c r="AF414" s="314">
        <v>289</v>
      </c>
      <c r="AG414" s="2">
        <f>ROUND(Load!$N$43+'2022'!$E$426*0.485/720,0)</f>
        <v>60</v>
      </c>
      <c r="AH414" s="2">
        <f t="shared" si="366"/>
        <v>349</v>
      </c>
      <c r="AI414" s="9" t="s">
        <v>32</v>
      </c>
      <c r="AJ414" s="2">
        <f>'Hoover with 30 MW Solar'!$L$39</f>
        <v>27</v>
      </c>
      <c r="AK414" s="2">
        <v>35</v>
      </c>
      <c r="AL414" s="2"/>
      <c r="AM414" s="77">
        <v>50</v>
      </c>
      <c r="AN414" s="78">
        <v>50</v>
      </c>
      <c r="AO414" s="78">
        <v>50</v>
      </c>
      <c r="AP414" s="78">
        <v>25</v>
      </c>
      <c r="AQ414" s="78">
        <v>55</v>
      </c>
      <c r="AR414" s="78"/>
      <c r="AS414" s="78"/>
      <c r="AT414" s="108"/>
      <c r="AU414" s="108"/>
      <c r="AV414" s="108"/>
      <c r="AW414" s="108"/>
      <c r="AX414" s="108"/>
      <c r="AY414" s="109">
        <v>-12</v>
      </c>
      <c r="AZ414" s="2">
        <f t="shared" si="367"/>
        <v>280</v>
      </c>
      <c r="BA414" s="10"/>
      <c r="BB414" s="13">
        <f t="shared" si="368"/>
        <v>69</v>
      </c>
      <c r="BC414" s="10"/>
      <c r="BD414" s="14">
        <f t="shared" si="374"/>
        <v>115</v>
      </c>
      <c r="BE414" s="14">
        <f t="shared" si="375"/>
        <v>162</v>
      </c>
      <c r="BF414" s="2">
        <f t="shared" si="369"/>
        <v>277</v>
      </c>
      <c r="BG414" s="2">
        <f t="shared" si="370"/>
        <v>208</v>
      </c>
    </row>
    <row r="415" spans="1:59" x14ac:dyDescent="0.3">
      <c r="A415" s="9" t="s">
        <v>33</v>
      </c>
      <c r="B415" s="2">
        <v>289</v>
      </c>
      <c r="C415" s="99">
        <f>ROUND(Load!$N$43+'2022'!$E$426*0.485/720,0)</f>
        <v>60</v>
      </c>
      <c r="D415" s="2">
        <f t="shared" si="362"/>
        <v>349</v>
      </c>
      <c r="E415" s="9" t="s">
        <v>33</v>
      </c>
      <c r="F415" s="2">
        <f>'Hoover with 30 MW Solar'!$L$39</f>
        <v>27</v>
      </c>
      <c r="G415" s="2">
        <v>35</v>
      </c>
      <c r="H415" s="2"/>
      <c r="I415" s="77">
        <v>50</v>
      </c>
      <c r="J415" s="78"/>
      <c r="K415" s="78"/>
      <c r="L415" s="78">
        <v>50</v>
      </c>
      <c r="M415" s="78">
        <v>25</v>
      </c>
      <c r="N415" s="78"/>
      <c r="O415" s="78"/>
      <c r="P415" s="108"/>
      <c r="Q415" s="108"/>
      <c r="R415" s="108"/>
      <c r="S415" s="108"/>
      <c r="T415" s="108"/>
      <c r="U415" s="109">
        <v>-12</v>
      </c>
      <c r="V415" s="2">
        <f t="shared" si="363"/>
        <v>175</v>
      </c>
      <c r="W415" s="10"/>
      <c r="X415" s="13">
        <f t="shared" si="364"/>
        <v>174</v>
      </c>
      <c r="Y415" s="10"/>
      <c r="Z415" s="14">
        <f t="shared" si="371"/>
        <v>115</v>
      </c>
      <c r="AA415" s="14">
        <f t="shared" si="376"/>
        <v>142</v>
      </c>
      <c r="AB415" s="2">
        <f t="shared" si="373"/>
        <v>257</v>
      </c>
      <c r="AC415" s="2">
        <f t="shared" si="365"/>
        <v>83</v>
      </c>
      <c r="AE415" s="9" t="s">
        <v>33</v>
      </c>
      <c r="AF415" s="314">
        <v>289</v>
      </c>
      <c r="AG415" s="2">
        <f>ROUND(Load!$N$43+'2022'!$E$426*0.485/720,0)</f>
        <v>60</v>
      </c>
      <c r="AH415" s="2">
        <f t="shared" si="366"/>
        <v>349</v>
      </c>
      <c r="AI415" s="9" t="s">
        <v>33</v>
      </c>
      <c r="AJ415" s="2">
        <f>'Hoover with 30 MW Solar'!$L$39</f>
        <v>27</v>
      </c>
      <c r="AK415" s="2">
        <v>35</v>
      </c>
      <c r="AL415" s="2"/>
      <c r="AM415" s="77">
        <v>50</v>
      </c>
      <c r="AN415" s="78">
        <v>50</v>
      </c>
      <c r="AO415" s="78">
        <v>50</v>
      </c>
      <c r="AP415" s="78">
        <v>25</v>
      </c>
      <c r="AQ415" s="78">
        <v>55</v>
      </c>
      <c r="AR415" s="78"/>
      <c r="AS415" s="78"/>
      <c r="AT415" s="108"/>
      <c r="AU415" s="108"/>
      <c r="AV415" s="108"/>
      <c r="AW415" s="108"/>
      <c r="AX415" s="108"/>
      <c r="AY415" s="109">
        <v>-12</v>
      </c>
      <c r="AZ415" s="2">
        <f t="shared" si="367"/>
        <v>280</v>
      </c>
      <c r="BA415" s="10"/>
      <c r="BB415" s="13">
        <f t="shared" si="368"/>
        <v>69</v>
      </c>
      <c r="BC415" s="10"/>
      <c r="BD415" s="14">
        <f t="shared" si="374"/>
        <v>115</v>
      </c>
      <c r="BE415" s="14">
        <f t="shared" si="375"/>
        <v>162</v>
      </c>
      <c r="BF415" s="2">
        <f t="shared" si="369"/>
        <v>277</v>
      </c>
      <c r="BG415" s="2">
        <f t="shared" si="370"/>
        <v>208</v>
      </c>
    </row>
    <row r="416" spans="1:59" x14ac:dyDescent="0.3">
      <c r="A416" s="9" t="s">
        <v>34</v>
      </c>
      <c r="B416" s="2"/>
      <c r="C416" s="99">
        <f>ROUND(Load!$N$43+'2022'!$E$426*0.485/720,0)</f>
        <v>60</v>
      </c>
      <c r="D416" s="2">
        <f t="shared" si="362"/>
        <v>60</v>
      </c>
      <c r="E416" s="9" t="s">
        <v>34</v>
      </c>
      <c r="F416" s="2">
        <f>'Hoover with 30 MW Solar'!$L$39</f>
        <v>27</v>
      </c>
      <c r="G416" s="2">
        <v>35</v>
      </c>
      <c r="H416" s="2"/>
      <c r="I416" s="77">
        <v>50</v>
      </c>
      <c r="J416" s="78"/>
      <c r="K416" s="78"/>
      <c r="L416" s="78">
        <v>50</v>
      </c>
      <c r="M416" s="78">
        <v>25</v>
      </c>
      <c r="N416" s="78"/>
      <c r="O416" s="78"/>
      <c r="P416" s="108"/>
      <c r="Q416" s="108"/>
      <c r="R416" s="108"/>
      <c r="S416" s="108"/>
      <c r="T416" s="108"/>
      <c r="U416" s="109">
        <v>-12</v>
      </c>
      <c r="V416" s="2">
        <f t="shared" si="363"/>
        <v>175</v>
      </c>
      <c r="W416" s="10"/>
      <c r="X416" s="13">
        <f t="shared" si="364"/>
        <v>-115</v>
      </c>
      <c r="Y416" s="10"/>
      <c r="Z416" s="14">
        <f t="shared" si="371"/>
        <v>115</v>
      </c>
      <c r="AA416" s="14">
        <f t="shared" si="376"/>
        <v>142</v>
      </c>
      <c r="AB416" s="2">
        <f t="shared" si="373"/>
        <v>257</v>
      </c>
      <c r="AC416" s="2">
        <f t="shared" si="365"/>
        <v>372</v>
      </c>
      <c r="AE416" s="9" t="s">
        <v>34</v>
      </c>
      <c r="AF416" s="314"/>
      <c r="AG416" s="2">
        <f>ROUND(Load!$N$43+'2022'!$E$426*0.485/720,0)</f>
        <v>60</v>
      </c>
      <c r="AH416" s="2">
        <f t="shared" si="366"/>
        <v>60</v>
      </c>
      <c r="AI416" s="9" t="s">
        <v>34</v>
      </c>
      <c r="AJ416" s="2">
        <f>'Hoover with 30 MW Solar'!$L$39</f>
        <v>27</v>
      </c>
      <c r="AK416" s="2">
        <v>35</v>
      </c>
      <c r="AL416" s="2"/>
      <c r="AM416" s="77">
        <v>50</v>
      </c>
      <c r="AN416" s="78">
        <v>50</v>
      </c>
      <c r="AO416" s="78">
        <v>50</v>
      </c>
      <c r="AP416" s="78">
        <v>25</v>
      </c>
      <c r="AQ416" s="78">
        <v>55</v>
      </c>
      <c r="AR416" s="78"/>
      <c r="AS416" s="78"/>
      <c r="AT416" s="108"/>
      <c r="AU416" s="108"/>
      <c r="AV416" s="108"/>
      <c r="AW416" s="108"/>
      <c r="AX416" s="108"/>
      <c r="AY416" s="109">
        <v>-12</v>
      </c>
      <c r="AZ416" s="2">
        <f t="shared" si="367"/>
        <v>280</v>
      </c>
      <c r="BA416" s="10"/>
      <c r="BB416" s="13">
        <f t="shared" si="368"/>
        <v>-220</v>
      </c>
      <c r="BC416" s="10"/>
      <c r="BD416" s="14">
        <f t="shared" si="374"/>
        <v>115</v>
      </c>
      <c r="BE416" s="14">
        <f t="shared" si="375"/>
        <v>162</v>
      </c>
      <c r="BF416" s="2">
        <f t="shared" si="369"/>
        <v>277</v>
      </c>
      <c r="BG416" s="2">
        <f t="shared" si="370"/>
        <v>497</v>
      </c>
    </row>
    <row r="417" spans="1:59" x14ac:dyDescent="0.3">
      <c r="A417" s="9" t="s">
        <v>35</v>
      </c>
      <c r="B417" s="2"/>
      <c r="C417" s="99">
        <f>ROUND(Load!$N$43+'2022'!$E$426*0.485/720,0)</f>
        <v>60</v>
      </c>
      <c r="D417" s="2">
        <f t="shared" si="362"/>
        <v>60</v>
      </c>
      <c r="E417" s="9" t="s">
        <v>35</v>
      </c>
      <c r="F417" s="2">
        <f>'Hoover with 30 MW Solar'!$L$39</f>
        <v>27</v>
      </c>
      <c r="G417" s="2">
        <v>35</v>
      </c>
      <c r="H417" s="2"/>
      <c r="I417" s="77">
        <v>50</v>
      </c>
      <c r="J417" s="78"/>
      <c r="K417" s="78"/>
      <c r="L417" s="78">
        <v>50</v>
      </c>
      <c r="M417" s="78">
        <v>25</v>
      </c>
      <c r="N417" s="78"/>
      <c r="O417" s="78"/>
      <c r="P417" s="108"/>
      <c r="Q417" s="108"/>
      <c r="R417" s="108"/>
      <c r="S417" s="108"/>
      <c r="T417" s="108"/>
      <c r="U417" s="109">
        <v>-12</v>
      </c>
      <c r="V417" s="2">
        <f t="shared" si="363"/>
        <v>175</v>
      </c>
      <c r="W417" s="10"/>
      <c r="X417" s="13">
        <f t="shared" si="364"/>
        <v>-115</v>
      </c>
      <c r="Y417" s="10"/>
      <c r="Z417" s="14">
        <f t="shared" si="371"/>
        <v>115</v>
      </c>
      <c r="AA417" s="14">
        <f t="shared" si="376"/>
        <v>142</v>
      </c>
      <c r="AB417" s="2">
        <f t="shared" si="373"/>
        <v>257</v>
      </c>
      <c r="AC417" s="2">
        <f t="shared" si="365"/>
        <v>372</v>
      </c>
      <c r="AE417" s="9" t="s">
        <v>35</v>
      </c>
      <c r="AF417" s="314"/>
      <c r="AG417" s="2">
        <f>ROUND(Load!$N$43+'2022'!$E$426*0.485/720,0)</f>
        <v>60</v>
      </c>
      <c r="AH417" s="2">
        <f t="shared" si="366"/>
        <v>60</v>
      </c>
      <c r="AI417" s="9" t="s">
        <v>35</v>
      </c>
      <c r="AJ417" s="2">
        <f>'Hoover with 30 MW Solar'!$L$39</f>
        <v>27</v>
      </c>
      <c r="AK417" s="2">
        <v>35</v>
      </c>
      <c r="AL417" s="2"/>
      <c r="AM417" s="77">
        <v>50</v>
      </c>
      <c r="AN417" s="78">
        <v>50</v>
      </c>
      <c r="AO417" s="78">
        <v>50</v>
      </c>
      <c r="AP417" s="78">
        <v>25</v>
      </c>
      <c r="AQ417" s="78">
        <v>55</v>
      </c>
      <c r="AR417" s="78"/>
      <c r="AS417" s="78"/>
      <c r="AT417" s="108"/>
      <c r="AU417" s="108"/>
      <c r="AV417" s="108"/>
      <c r="AW417" s="108"/>
      <c r="AX417" s="108"/>
      <c r="AY417" s="109">
        <v>-12</v>
      </c>
      <c r="AZ417" s="2">
        <f t="shared" si="367"/>
        <v>280</v>
      </c>
      <c r="BA417" s="10"/>
      <c r="BB417" s="13">
        <f t="shared" si="368"/>
        <v>-220</v>
      </c>
      <c r="BC417" s="10"/>
      <c r="BD417" s="14">
        <f t="shared" si="374"/>
        <v>115</v>
      </c>
      <c r="BE417" s="14">
        <f t="shared" si="375"/>
        <v>162</v>
      </c>
      <c r="BF417" s="2">
        <f t="shared" si="369"/>
        <v>277</v>
      </c>
      <c r="BG417" s="2">
        <f t="shared" si="370"/>
        <v>497</v>
      </c>
    </row>
    <row r="418" spans="1:59" x14ac:dyDescent="0.3">
      <c r="A418" s="9" t="s">
        <v>36</v>
      </c>
      <c r="B418" s="2"/>
      <c r="C418" s="99">
        <f>ROUND(Load!$N$43+'2022'!$E$426*0.485/720,0)</f>
        <v>60</v>
      </c>
      <c r="D418" s="2">
        <f t="shared" si="362"/>
        <v>60</v>
      </c>
      <c r="E418" s="9" t="s">
        <v>36</v>
      </c>
      <c r="F418" s="2">
        <f>'Hoover with 30 MW Solar'!$L$39</f>
        <v>27</v>
      </c>
      <c r="G418" s="2">
        <v>35</v>
      </c>
      <c r="H418" s="2">
        <v>44</v>
      </c>
      <c r="I418" s="77">
        <v>50</v>
      </c>
      <c r="J418" s="78"/>
      <c r="K418" s="78"/>
      <c r="L418" s="78">
        <v>50</v>
      </c>
      <c r="M418" s="78">
        <v>25</v>
      </c>
      <c r="N418" s="78"/>
      <c r="O418" s="78"/>
      <c r="P418" s="108"/>
      <c r="Q418" s="108"/>
      <c r="R418" s="108"/>
      <c r="S418" s="108"/>
      <c r="T418" s="108"/>
      <c r="U418" s="109">
        <v>-12</v>
      </c>
      <c r="V418" s="2">
        <f t="shared" si="363"/>
        <v>219</v>
      </c>
      <c r="W418" s="10"/>
      <c r="X418" s="13">
        <f t="shared" si="364"/>
        <v>-159</v>
      </c>
      <c r="Y418" s="10"/>
      <c r="Z418" s="14">
        <f t="shared" si="371"/>
        <v>71</v>
      </c>
      <c r="AA418" s="14">
        <f t="shared" si="376"/>
        <v>142</v>
      </c>
      <c r="AB418" s="2">
        <f t="shared" si="373"/>
        <v>213</v>
      </c>
      <c r="AC418" s="2">
        <f t="shared" si="365"/>
        <v>372</v>
      </c>
      <c r="AE418" s="9" t="s">
        <v>36</v>
      </c>
      <c r="AF418" s="314"/>
      <c r="AG418" s="2">
        <f>ROUND(Load!$N$43+'2022'!$E$426*0.485/720,0)</f>
        <v>60</v>
      </c>
      <c r="AH418" s="2">
        <f t="shared" si="366"/>
        <v>60</v>
      </c>
      <c r="AI418" s="9" t="s">
        <v>36</v>
      </c>
      <c r="AJ418" s="2">
        <f>'Hoover with 30 MW Solar'!$L$39</f>
        <v>27</v>
      </c>
      <c r="AK418" s="2">
        <v>35</v>
      </c>
      <c r="AL418" s="2">
        <v>44</v>
      </c>
      <c r="AM418" s="77">
        <v>50</v>
      </c>
      <c r="AN418" s="78">
        <v>50</v>
      </c>
      <c r="AO418" s="78">
        <v>50</v>
      </c>
      <c r="AP418" s="78">
        <v>25</v>
      </c>
      <c r="AQ418" s="78">
        <v>55</v>
      </c>
      <c r="AR418" s="78"/>
      <c r="AS418" s="78"/>
      <c r="AT418" s="108"/>
      <c r="AU418" s="108"/>
      <c r="AV418" s="108"/>
      <c r="AW418" s="108"/>
      <c r="AX418" s="108"/>
      <c r="AY418" s="109">
        <v>-12</v>
      </c>
      <c r="AZ418" s="2">
        <f t="shared" si="367"/>
        <v>324</v>
      </c>
      <c r="BA418" s="10"/>
      <c r="BB418" s="13">
        <f t="shared" si="368"/>
        <v>-264</v>
      </c>
      <c r="BC418" s="10"/>
      <c r="BD418" s="14">
        <f t="shared" si="374"/>
        <v>71</v>
      </c>
      <c r="BE418" s="14">
        <f t="shared" si="375"/>
        <v>162</v>
      </c>
      <c r="BF418" s="2">
        <f t="shared" si="369"/>
        <v>233</v>
      </c>
      <c r="BG418" s="2">
        <f t="shared" si="370"/>
        <v>497</v>
      </c>
    </row>
    <row r="419" spans="1:59" x14ac:dyDescent="0.3">
      <c r="A419" s="9" t="s">
        <v>37</v>
      </c>
      <c r="B419" s="2"/>
      <c r="C419" s="99">
        <f>ROUND(Load!$N$43+'2022'!$E$426*0.485/720,0)</f>
        <v>60</v>
      </c>
      <c r="D419" s="2">
        <f t="shared" si="362"/>
        <v>60</v>
      </c>
      <c r="E419" s="9" t="s">
        <v>37</v>
      </c>
      <c r="F419" s="2">
        <f>'Hoover with 30 MW Solar'!$L$39</f>
        <v>27</v>
      </c>
      <c r="G419" s="2">
        <v>35</v>
      </c>
      <c r="H419" s="2">
        <v>44</v>
      </c>
      <c r="I419" s="77">
        <v>50</v>
      </c>
      <c r="J419" s="78"/>
      <c r="K419" s="78"/>
      <c r="L419" s="78">
        <v>50</v>
      </c>
      <c r="M419" s="78">
        <v>25</v>
      </c>
      <c r="N419" s="78"/>
      <c r="O419" s="78"/>
      <c r="P419" s="108"/>
      <c r="Q419" s="108"/>
      <c r="R419" s="108"/>
      <c r="S419" s="108"/>
      <c r="T419" s="108"/>
      <c r="U419" s="109">
        <v>-12</v>
      </c>
      <c r="V419" s="2">
        <f t="shared" si="363"/>
        <v>219</v>
      </c>
      <c r="W419" s="10"/>
      <c r="X419" s="13">
        <f t="shared" si="364"/>
        <v>-159</v>
      </c>
      <c r="Y419" s="10"/>
      <c r="Z419" s="14">
        <f t="shared" si="371"/>
        <v>71</v>
      </c>
      <c r="AA419" s="14">
        <f t="shared" si="376"/>
        <v>142</v>
      </c>
      <c r="AB419" s="2">
        <f t="shared" si="373"/>
        <v>213</v>
      </c>
      <c r="AC419" s="2">
        <f t="shared" si="365"/>
        <v>372</v>
      </c>
      <c r="AE419" s="9" t="s">
        <v>37</v>
      </c>
      <c r="AF419" s="314"/>
      <c r="AG419" s="2">
        <f>ROUND(Load!$N$43+'2022'!$E$426*0.485/720,0)</f>
        <v>60</v>
      </c>
      <c r="AH419" s="2">
        <f t="shared" si="366"/>
        <v>60</v>
      </c>
      <c r="AI419" s="9" t="s">
        <v>37</v>
      </c>
      <c r="AJ419" s="2">
        <f>'Hoover with 30 MW Solar'!$L$39</f>
        <v>27</v>
      </c>
      <c r="AK419" s="2">
        <v>35</v>
      </c>
      <c r="AL419" s="2">
        <v>44</v>
      </c>
      <c r="AM419" s="77">
        <v>50</v>
      </c>
      <c r="AN419" s="78">
        <v>50</v>
      </c>
      <c r="AO419" s="78">
        <v>50</v>
      </c>
      <c r="AP419" s="78">
        <v>25</v>
      </c>
      <c r="AQ419" s="78">
        <v>55</v>
      </c>
      <c r="AR419" s="78"/>
      <c r="AS419" s="78"/>
      <c r="AT419" s="108"/>
      <c r="AU419" s="108"/>
      <c r="AV419" s="108"/>
      <c r="AW419" s="108"/>
      <c r="AX419" s="108"/>
      <c r="AY419" s="109">
        <v>-12</v>
      </c>
      <c r="AZ419" s="2">
        <f t="shared" si="367"/>
        <v>324</v>
      </c>
      <c r="BA419" s="10"/>
      <c r="BB419" s="13">
        <f t="shared" si="368"/>
        <v>-264</v>
      </c>
      <c r="BC419" s="10"/>
      <c r="BD419" s="14">
        <f t="shared" si="374"/>
        <v>71</v>
      </c>
      <c r="BE419" s="14">
        <f t="shared" si="375"/>
        <v>162</v>
      </c>
      <c r="BF419" s="2">
        <f t="shared" si="369"/>
        <v>233</v>
      </c>
      <c r="BG419" s="2">
        <f t="shared" si="370"/>
        <v>497</v>
      </c>
    </row>
    <row r="420" spans="1:59" x14ac:dyDescent="0.3">
      <c r="A420" s="9" t="s">
        <v>38</v>
      </c>
      <c r="B420" s="2"/>
      <c r="C420" s="99">
        <f>ROUND(Load!$N$43+'2022'!$E$426*0.485/720,0)</f>
        <v>60</v>
      </c>
      <c r="D420" s="2">
        <f t="shared" si="362"/>
        <v>60</v>
      </c>
      <c r="E420" s="9" t="s">
        <v>38</v>
      </c>
      <c r="F420" s="2">
        <f>'Hoover with 30 MW Solar'!$L$39</f>
        <v>27</v>
      </c>
      <c r="G420" s="2">
        <v>35</v>
      </c>
      <c r="H420" s="2">
        <v>44</v>
      </c>
      <c r="I420" s="77">
        <v>50</v>
      </c>
      <c r="J420" s="78"/>
      <c r="K420" s="78"/>
      <c r="L420" s="78">
        <v>50</v>
      </c>
      <c r="M420" s="78">
        <v>25</v>
      </c>
      <c r="N420" s="78"/>
      <c r="O420" s="78"/>
      <c r="P420" s="108"/>
      <c r="Q420" s="108"/>
      <c r="R420" s="108"/>
      <c r="S420" s="108"/>
      <c r="T420" s="108"/>
      <c r="U420" s="109">
        <v>-12</v>
      </c>
      <c r="V420" s="2">
        <f t="shared" si="363"/>
        <v>219</v>
      </c>
      <c r="W420" s="10"/>
      <c r="X420" s="13">
        <f t="shared" si="364"/>
        <v>-159</v>
      </c>
      <c r="Y420" s="10"/>
      <c r="Z420" s="14">
        <f t="shared" si="371"/>
        <v>71</v>
      </c>
      <c r="AA420" s="14">
        <f t="shared" si="376"/>
        <v>142</v>
      </c>
      <c r="AB420" s="2">
        <f t="shared" si="373"/>
        <v>213</v>
      </c>
      <c r="AC420" s="2">
        <f t="shared" si="365"/>
        <v>372</v>
      </c>
      <c r="AE420" s="9" t="s">
        <v>38</v>
      </c>
      <c r="AF420" s="314"/>
      <c r="AG420" s="2">
        <f>ROUND(Load!$N$43+'2022'!$E$426*0.485/720,0)</f>
        <v>60</v>
      </c>
      <c r="AH420" s="2">
        <f t="shared" si="366"/>
        <v>60</v>
      </c>
      <c r="AI420" s="9" t="s">
        <v>38</v>
      </c>
      <c r="AJ420" s="2">
        <f>'Hoover with 30 MW Solar'!$L$39</f>
        <v>27</v>
      </c>
      <c r="AK420" s="2">
        <v>35</v>
      </c>
      <c r="AL420" s="2">
        <v>44</v>
      </c>
      <c r="AM420" s="77">
        <v>50</v>
      </c>
      <c r="AN420" s="78">
        <v>50</v>
      </c>
      <c r="AO420" s="78">
        <v>50</v>
      </c>
      <c r="AP420" s="78">
        <v>25</v>
      </c>
      <c r="AQ420" s="78">
        <v>55</v>
      </c>
      <c r="AR420" s="78"/>
      <c r="AS420" s="78"/>
      <c r="AT420" s="108"/>
      <c r="AU420" s="108"/>
      <c r="AV420" s="108"/>
      <c r="AW420" s="108"/>
      <c r="AX420" s="108"/>
      <c r="AY420" s="109">
        <v>-12</v>
      </c>
      <c r="AZ420" s="2">
        <f t="shared" si="367"/>
        <v>324</v>
      </c>
      <c r="BA420" s="10"/>
      <c r="BB420" s="13">
        <f t="shared" si="368"/>
        <v>-264</v>
      </c>
      <c r="BC420" s="10"/>
      <c r="BD420" s="14">
        <f t="shared" si="374"/>
        <v>71</v>
      </c>
      <c r="BE420" s="14">
        <f t="shared" si="375"/>
        <v>162</v>
      </c>
      <c r="BF420" s="2">
        <f t="shared" si="369"/>
        <v>233</v>
      </c>
      <c r="BG420" s="2">
        <f t="shared" si="370"/>
        <v>497</v>
      </c>
    </row>
    <row r="421" spans="1:59" x14ac:dyDescent="0.3">
      <c r="A421" s="9" t="s">
        <v>39</v>
      </c>
      <c r="B421" s="2"/>
      <c r="C421" s="99">
        <f>ROUND(Load!$N$43+'2022'!$E$426*0.485/720,0)</f>
        <v>60</v>
      </c>
      <c r="D421" s="2">
        <f t="shared" si="362"/>
        <v>60</v>
      </c>
      <c r="E421" s="9" t="s">
        <v>39</v>
      </c>
      <c r="F421" s="2">
        <f>'Hoover with 30 MW Solar'!$L$39</f>
        <v>27</v>
      </c>
      <c r="G421" s="2">
        <v>35</v>
      </c>
      <c r="H421" s="2">
        <v>44</v>
      </c>
      <c r="I421" s="77">
        <v>50</v>
      </c>
      <c r="J421" s="78"/>
      <c r="K421" s="78"/>
      <c r="L421" s="78">
        <v>50</v>
      </c>
      <c r="M421" s="78">
        <v>25</v>
      </c>
      <c r="N421" s="78"/>
      <c r="O421" s="78"/>
      <c r="P421" s="108"/>
      <c r="Q421" s="108"/>
      <c r="R421" s="108"/>
      <c r="S421" s="108"/>
      <c r="T421" s="108"/>
      <c r="U421" s="109">
        <v>-12</v>
      </c>
      <c r="V421" s="2">
        <f t="shared" si="363"/>
        <v>219</v>
      </c>
      <c r="W421" s="10"/>
      <c r="X421" s="13">
        <f t="shared" si="364"/>
        <v>-159</v>
      </c>
      <c r="Y421" s="10"/>
      <c r="Z421" s="14">
        <f t="shared" si="371"/>
        <v>71</v>
      </c>
      <c r="AA421" s="14">
        <f t="shared" si="376"/>
        <v>142</v>
      </c>
      <c r="AB421" s="2">
        <f t="shared" si="373"/>
        <v>213</v>
      </c>
      <c r="AC421" s="2">
        <f t="shared" si="365"/>
        <v>372</v>
      </c>
      <c r="AE421" s="9" t="s">
        <v>39</v>
      </c>
      <c r="AF421" s="314"/>
      <c r="AG421" s="2">
        <f>ROUND(Load!$N$43+'2022'!$E$426*0.485/720,0)</f>
        <v>60</v>
      </c>
      <c r="AH421" s="2">
        <f t="shared" si="366"/>
        <v>60</v>
      </c>
      <c r="AI421" s="9" t="s">
        <v>39</v>
      </c>
      <c r="AJ421" s="2">
        <f>'Hoover with 30 MW Solar'!$L$39</f>
        <v>27</v>
      </c>
      <c r="AK421" s="2">
        <v>35</v>
      </c>
      <c r="AL421" s="2">
        <v>44</v>
      </c>
      <c r="AM421" s="77">
        <v>50</v>
      </c>
      <c r="AN421" s="78">
        <v>50</v>
      </c>
      <c r="AO421" s="78">
        <v>50</v>
      </c>
      <c r="AP421" s="78">
        <v>25</v>
      </c>
      <c r="AQ421" s="78">
        <v>55</v>
      </c>
      <c r="AR421" s="78"/>
      <c r="AS421" s="78"/>
      <c r="AT421" s="108"/>
      <c r="AU421" s="108"/>
      <c r="AV421" s="108"/>
      <c r="AW421" s="108"/>
      <c r="AX421" s="108"/>
      <c r="AY421" s="109">
        <v>-12</v>
      </c>
      <c r="AZ421" s="2">
        <f t="shared" si="367"/>
        <v>324</v>
      </c>
      <c r="BA421" s="10"/>
      <c r="BB421" s="13">
        <f t="shared" si="368"/>
        <v>-264</v>
      </c>
      <c r="BC421" s="10"/>
      <c r="BD421" s="14">
        <f t="shared" si="374"/>
        <v>71</v>
      </c>
      <c r="BE421" s="14">
        <f t="shared" si="375"/>
        <v>162</v>
      </c>
      <c r="BF421" s="2">
        <f t="shared" si="369"/>
        <v>233</v>
      </c>
      <c r="BG421" s="2">
        <f t="shared" si="370"/>
        <v>497</v>
      </c>
    </row>
    <row r="422" spans="1:59" x14ac:dyDescent="0.3">
      <c r="A422" s="9" t="s">
        <v>40</v>
      </c>
      <c r="B422" s="2"/>
      <c r="C422" s="99">
        <f>ROUND(Load!$N$43+'2022'!$E$426*0.485/720,0)</f>
        <v>60</v>
      </c>
      <c r="D422" s="2">
        <f t="shared" si="362"/>
        <v>60</v>
      </c>
      <c r="E422" s="9" t="s">
        <v>40</v>
      </c>
      <c r="F422" s="2">
        <f>'Hoover with 30 MW Solar'!$L$39</f>
        <v>27</v>
      </c>
      <c r="G422" s="2">
        <v>35</v>
      </c>
      <c r="H422" s="2">
        <v>44</v>
      </c>
      <c r="I422" s="77">
        <v>50</v>
      </c>
      <c r="J422" s="78"/>
      <c r="K422" s="78"/>
      <c r="L422" s="78">
        <v>50</v>
      </c>
      <c r="M422" s="78">
        <v>25</v>
      </c>
      <c r="N422" s="78"/>
      <c r="O422" s="78"/>
      <c r="P422" s="108"/>
      <c r="Q422" s="108"/>
      <c r="R422" s="108"/>
      <c r="S422" s="108"/>
      <c r="T422" s="108"/>
      <c r="U422" s="109">
        <v>-12</v>
      </c>
      <c r="V422" s="2">
        <f t="shared" si="363"/>
        <v>219</v>
      </c>
      <c r="W422" s="10"/>
      <c r="X422" s="13">
        <f t="shared" si="364"/>
        <v>-159</v>
      </c>
      <c r="Y422" s="10"/>
      <c r="Z422" s="14">
        <f t="shared" si="371"/>
        <v>71</v>
      </c>
      <c r="AA422" s="14">
        <f t="shared" si="376"/>
        <v>142</v>
      </c>
      <c r="AB422" s="2">
        <f t="shared" si="373"/>
        <v>213</v>
      </c>
      <c r="AC422" s="2">
        <f t="shared" si="365"/>
        <v>372</v>
      </c>
      <c r="AE422" s="9" t="s">
        <v>40</v>
      </c>
      <c r="AF422" s="314"/>
      <c r="AG422" s="2">
        <f>ROUND(Load!$N$43+'2022'!$E$426*0.485/720,0)</f>
        <v>60</v>
      </c>
      <c r="AH422" s="2">
        <f t="shared" si="366"/>
        <v>60</v>
      </c>
      <c r="AI422" s="9" t="s">
        <v>40</v>
      </c>
      <c r="AJ422" s="2">
        <f>'Hoover with 30 MW Solar'!$L$39</f>
        <v>27</v>
      </c>
      <c r="AK422" s="2">
        <v>35</v>
      </c>
      <c r="AL422" s="2">
        <v>44</v>
      </c>
      <c r="AM422" s="77">
        <v>50</v>
      </c>
      <c r="AN422" s="78">
        <v>50</v>
      </c>
      <c r="AO422" s="78">
        <v>50</v>
      </c>
      <c r="AP422" s="78">
        <v>25</v>
      </c>
      <c r="AQ422" s="78">
        <v>55</v>
      </c>
      <c r="AR422" s="78"/>
      <c r="AS422" s="78"/>
      <c r="AT422" s="108"/>
      <c r="AU422" s="108"/>
      <c r="AV422" s="108"/>
      <c r="AW422" s="108"/>
      <c r="AX422" s="108"/>
      <c r="AY422" s="109">
        <v>-12</v>
      </c>
      <c r="AZ422" s="2">
        <f t="shared" si="367"/>
        <v>324</v>
      </c>
      <c r="BA422" s="10"/>
      <c r="BB422" s="13">
        <f t="shared" si="368"/>
        <v>-264</v>
      </c>
      <c r="BC422" s="10"/>
      <c r="BD422" s="14">
        <f t="shared" si="374"/>
        <v>71</v>
      </c>
      <c r="BE422" s="14">
        <f t="shared" si="375"/>
        <v>162</v>
      </c>
      <c r="BF422" s="2">
        <f t="shared" si="369"/>
        <v>233</v>
      </c>
      <c r="BG422" s="2">
        <f t="shared" si="370"/>
        <v>497</v>
      </c>
    </row>
    <row r="423" spans="1:59" x14ac:dyDescent="0.3">
      <c r="A423" s="9" t="s">
        <v>41</v>
      </c>
      <c r="B423" s="2">
        <v>49</v>
      </c>
      <c r="C423" s="99">
        <f>ROUND(Load!$N$43+'2022'!$E$426*0.485/720,0)</f>
        <v>60</v>
      </c>
      <c r="D423" s="2">
        <f t="shared" si="362"/>
        <v>109</v>
      </c>
      <c r="E423" s="9" t="s">
        <v>41</v>
      </c>
      <c r="F423" s="2"/>
      <c r="G423" s="2">
        <v>35</v>
      </c>
      <c r="H423" s="2"/>
      <c r="I423" s="77"/>
      <c r="J423" s="78">
        <v>50</v>
      </c>
      <c r="K423" s="78">
        <v>50</v>
      </c>
      <c r="L423" s="78"/>
      <c r="M423" s="78">
        <v>25</v>
      </c>
      <c r="N423" s="78">
        <v>55</v>
      </c>
      <c r="O423" s="78"/>
      <c r="P423" s="108"/>
      <c r="Q423" s="108"/>
      <c r="R423" s="108"/>
      <c r="S423" s="108"/>
      <c r="T423" s="108"/>
      <c r="U423" s="109"/>
      <c r="V423" s="2">
        <f t="shared" si="363"/>
        <v>215</v>
      </c>
      <c r="W423" s="10"/>
      <c r="X423" s="11">
        <f t="shared" si="364"/>
        <v>-106</v>
      </c>
      <c r="Y423" s="10"/>
      <c r="Z423" s="12">
        <f t="shared" si="371"/>
        <v>142</v>
      </c>
      <c r="AA423" s="12">
        <f t="shared" ref="AA423:AA424" si="377">342-J423-K423-L423-M423-N423</f>
        <v>162</v>
      </c>
      <c r="AB423" s="2">
        <f t="shared" si="373"/>
        <v>304</v>
      </c>
      <c r="AC423" s="2">
        <f t="shared" si="365"/>
        <v>410</v>
      </c>
      <c r="AE423" s="9" t="s">
        <v>41</v>
      </c>
      <c r="AF423" s="314">
        <v>49</v>
      </c>
      <c r="AG423" s="2">
        <f>ROUND(Load!$N$43+'2022'!$E$426*0.485/720,0)</f>
        <v>60</v>
      </c>
      <c r="AH423" s="2">
        <f t="shared" si="366"/>
        <v>109</v>
      </c>
      <c r="AI423" s="9" t="s">
        <v>41</v>
      </c>
      <c r="AJ423" s="2"/>
      <c r="AK423" s="2">
        <v>35</v>
      </c>
      <c r="AL423" s="2"/>
      <c r="AM423" s="77"/>
      <c r="AN423" s="78">
        <v>50</v>
      </c>
      <c r="AO423" s="78">
        <v>50</v>
      </c>
      <c r="AP423" s="78">
        <v>25</v>
      </c>
      <c r="AQ423" s="78">
        <v>55</v>
      </c>
      <c r="AR423" s="78"/>
      <c r="AS423" s="78"/>
      <c r="AT423" s="108"/>
      <c r="AU423" s="108"/>
      <c r="AV423" s="108"/>
      <c r="AW423" s="108"/>
      <c r="AX423" s="108"/>
      <c r="AY423" s="109"/>
      <c r="AZ423" s="2">
        <f t="shared" si="367"/>
        <v>215</v>
      </c>
      <c r="BA423" s="10"/>
      <c r="BB423" s="11">
        <f t="shared" si="368"/>
        <v>-106</v>
      </c>
      <c r="BC423" s="10"/>
      <c r="BD423" s="12">
        <f t="shared" si="374"/>
        <v>142</v>
      </c>
      <c r="BE423" s="12">
        <f t="shared" si="375"/>
        <v>162</v>
      </c>
      <c r="BF423" s="2">
        <f t="shared" si="369"/>
        <v>304</v>
      </c>
      <c r="BG423" s="2">
        <f t="shared" si="370"/>
        <v>410</v>
      </c>
    </row>
    <row r="424" spans="1:59" ht="15" thickBot="1" x14ac:dyDescent="0.35">
      <c r="A424" s="15" t="s">
        <v>42</v>
      </c>
      <c r="B424" s="16">
        <v>49</v>
      </c>
      <c r="C424" s="123">
        <f>ROUND(Load!$N$43+'2022'!$E$426*0.485/720,0)</f>
        <v>60</v>
      </c>
      <c r="D424" s="16">
        <f t="shared" si="362"/>
        <v>109</v>
      </c>
      <c r="E424" s="15" t="s">
        <v>42</v>
      </c>
      <c r="F424" s="16"/>
      <c r="G424" s="16">
        <v>35</v>
      </c>
      <c r="H424" s="16"/>
      <c r="I424" s="75"/>
      <c r="J424" s="76">
        <v>50</v>
      </c>
      <c r="K424" s="76">
        <v>50</v>
      </c>
      <c r="L424" s="76"/>
      <c r="M424" s="76">
        <v>25</v>
      </c>
      <c r="N424" s="76">
        <v>55</v>
      </c>
      <c r="O424" s="76"/>
      <c r="P424" s="106"/>
      <c r="Q424" s="106"/>
      <c r="R424" s="106"/>
      <c r="S424" s="106"/>
      <c r="T424" s="106"/>
      <c r="U424" s="107"/>
      <c r="V424" s="16">
        <f t="shared" si="363"/>
        <v>215</v>
      </c>
      <c r="W424" s="10"/>
      <c r="X424" s="17">
        <f t="shared" si="364"/>
        <v>-106</v>
      </c>
      <c r="Y424" s="10"/>
      <c r="Z424" s="18">
        <f t="shared" si="371"/>
        <v>142</v>
      </c>
      <c r="AA424" s="18">
        <f t="shared" si="377"/>
        <v>162</v>
      </c>
      <c r="AB424" s="16">
        <f t="shared" si="373"/>
        <v>304</v>
      </c>
      <c r="AC424" s="16">
        <f t="shared" si="365"/>
        <v>410</v>
      </c>
      <c r="AE424" s="15" t="s">
        <v>42</v>
      </c>
      <c r="AF424" s="16">
        <v>49</v>
      </c>
      <c r="AG424" s="16">
        <f>ROUND(Load!$N$43+'2022'!$E$426*0.485/720,0)</f>
        <v>60</v>
      </c>
      <c r="AH424" s="16">
        <f t="shared" si="366"/>
        <v>109</v>
      </c>
      <c r="AI424" s="15" t="s">
        <v>42</v>
      </c>
      <c r="AJ424" s="16"/>
      <c r="AK424" s="16">
        <v>35</v>
      </c>
      <c r="AL424" s="16"/>
      <c r="AM424" s="75"/>
      <c r="AN424" s="76">
        <v>50</v>
      </c>
      <c r="AO424" s="76">
        <v>50</v>
      </c>
      <c r="AP424" s="76">
        <v>25</v>
      </c>
      <c r="AQ424" s="76">
        <v>55</v>
      </c>
      <c r="AR424" s="76"/>
      <c r="AS424" s="76"/>
      <c r="AT424" s="106"/>
      <c r="AU424" s="106"/>
      <c r="AV424" s="106"/>
      <c r="AW424" s="106"/>
      <c r="AX424" s="106"/>
      <c r="AY424" s="107"/>
      <c r="AZ424" s="16">
        <f t="shared" si="367"/>
        <v>215</v>
      </c>
      <c r="BA424" s="10"/>
      <c r="BB424" s="17">
        <f t="shared" si="368"/>
        <v>-106</v>
      </c>
      <c r="BC424" s="10"/>
      <c r="BD424" s="18">
        <f t="shared" si="374"/>
        <v>142</v>
      </c>
      <c r="BE424" s="18">
        <f t="shared" si="375"/>
        <v>162</v>
      </c>
      <c r="BF424" s="16">
        <f t="shared" si="369"/>
        <v>304</v>
      </c>
      <c r="BG424" s="16">
        <f t="shared" si="370"/>
        <v>410</v>
      </c>
    </row>
    <row r="425" spans="1:59" ht="15" thickTop="1" x14ac:dyDescent="0.3">
      <c r="A425" s="2" t="s">
        <v>43</v>
      </c>
      <c r="B425" s="2">
        <f>SUM(B401:B424)</f>
        <v>2126</v>
      </c>
      <c r="C425" s="2">
        <f t="shared" ref="C425:D425" si="378">SUM(C401:C424)</f>
        <v>1440</v>
      </c>
      <c r="D425" s="2">
        <f t="shared" si="378"/>
        <v>3566</v>
      </c>
      <c r="E425" s="327" t="s">
        <v>406</v>
      </c>
      <c r="F425" s="2">
        <f t="shared" ref="F425:H425" si="379">SUM(F401:F424)</f>
        <v>432</v>
      </c>
      <c r="G425" s="2">
        <f t="shared" si="379"/>
        <v>840</v>
      </c>
      <c r="H425" s="2">
        <f t="shared" si="379"/>
        <v>301</v>
      </c>
      <c r="I425" s="2">
        <f>SUM(I401:I424)</f>
        <v>800</v>
      </c>
      <c r="J425" s="2">
        <f>SUM(J401:J424)</f>
        <v>400</v>
      </c>
      <c r="K425" s="2">
        <f>SUM(K401:K424)</f>
        <v>400</v>
      </c>
      <c r="L425" s="2">
        <f>SUM(L401:L424)</f>
        <v>800</v>
      </c>
      <c r="M425" s="2">
        <f t="shared" ref="M425:U425" si="380">SUM(M401:M424)</f>
        <v>600</v>
      </c>
      <c r="N425" s="2">
        <f t="shared" si="380"/>
        <v>440</v>
      </c>
      <c r="O425" s="2">
        <f t="shared" ref="O425:P425" si="381">SUM(O401:O424)</f>
        <v>0</v>
      </c>
      <c r="P425" s="2">
        <f t="shared" si="381"/>
        <v>0</v>
      </c>
      <c r="Q425" s="2">
        <f t="shared" ref="Q425" si="382">SUM(Q401:Q424)</f>
        <v>0</v>
      </c>
      <c r="R425" s="2">
        <f t="shared" ref="R425" si="383">SUM(R401:R424)</f>
        <v>0</v>
      </c>
      <c r="S425" s="2">
        <f t="shared" ref="S425" si="384">SUM(S401:S424)</f>
        <v>0</v>
      </c>
      <c r="T425" s="2">
        <f t="shared" ref="T425" si="385">SUM(T401:T424)</f>
        <v>0</v>
      </c>
      <c r="U425" s="2">
        <f t="shared" si="380"/>
        <v>-192</v>
      </c>
      <c r="V425" s="2">
        <f>SUM(V401:V424)</f>
        <v>4821</v>
      </c>
      <c r="W425" s="10"/>
      <c r="X425" s="19">
        <f>SUM(X401:X424)</f>
        <v>-1255</v>
      </c>
      <c r="Y425" s="10"/>
      <c r="Z425" s="19">
        <f>SUM(Z401:Z424)</f>
        <v>2675</v>
      </c>
      <c r="AA425" s="19">
        <f>SUM(AA401:AA424)</f>
        <v>3568</v>
      </c>
      <c r="AB425" s="19">
        <f t="shared" ref="AB425:AC425" si="386">SUM(AB401:AB424)</f>
        <v>6243</v>
      </c>
      <c r="AC425" s="19">
        <f t="shared" si="386"/>
        <v>7498</v>
      </c>
      <c r="AE425" s="2" t="s">
        <v>43</v>
      </c>
      <c r="AF425" s="2">
        <f>SUM(AF401:AF424)</f>
        <v>2126</v>
      </c>
      <c r="AG425" s="2">
        <f t="shared" ref="AG425:AH425" si="387">SUM(AG401:AG424)</f>
        <v>1440</v>
      </c>
      <c r="AH425" s="2">
        <f t="shared" si="387"/>
        <v>3566</v>
      </c>
      <c r="AI425" s="92"/>
      <c r="AJ425" s="2">
        <f t="shared" ref="AJ425:AL425" si="388">SUM(AJ401:AJ424)</f>
        <v>432</v>
      </c>
      <c r="AK425" s="2">
        <f t="shared" si="388"/>
        <v>840</v>
      </c>
      <c r="AL425" s="2">
        <f t="shared" si="388"/>
        <v>301</v>
      </c>
      <c r="AM425" s="2">
        <f>SUM(AM401:AM424)</f>
        <v>800</v>
      </c>
      <c r="AN425" s="2">
        <f t="shared" ref="AN425:AO425" si="389">SUM(AN401:AN424)</f>
        <v>1200</v>
      </c>
      <c r="AO425" s="2">
        <f t="shared" si="389"/>
        <v>1200</v>
      </c>
      <c r="AP425" s="2">
        <f>SUM(AP401:AP424)</f>
        <v>600</v>
      </c>
      <c r="AQ425" s="2">
        <f t="shared" ref="AQ425:AY425" si="390">SUM(AQ401:AQ424)</f>
        <v>1320</v>
      </c>
      <c r="AR425" s="2">
        <f t="shared" si="390"/>
        <v>0</v>
      </c>
      <c r="AS425" s="2">
        <f t="shared" si="390"/>
        <v>0</v>
      </c>
      <c r="AT425" s="2">
        <f t="shared" si="390"/>
        <v>0</v>
      </c>
      <c r="AU425" s="2">
        <f t="shared" si="390"/>
        <v>0</v>
      </c>
      <c r="AV425" s="2">
        <f t="shared" si="390"/>
        <v>0</v>
      </c>
      <c r="AW425" s="2">
        <f t="shared" si="390"/>
        <v>0</v>
      </c>
      <c r="AX425" s="2">
        <f t="shared" si="390"/>
        <v>0</v>
      </c>
      <c r="AY425" s="2">
        <f t="shared" si="390"/>
        <v>-192</v>
      </c>
      <c r="AZ425" s="2">
        <f>SUM(AZ401:AZ424)</f>
        <v>6501</v>
      </c>
      <c r="BA425" s="10"/>
      <c r="BB425" s="19">
        <f>SUM(BB401:BB424)</f>
        <v>-2935</v>
      </c>
      <c r="BC425" s="10"/>
      <c r="BD425" s="19">
        <f>SUM(BD401:BD424)</f>
        <v>2675</v>
      </c>
      <c r="BE425" s="19">
        <f>SUM(BE401:BE424)</f>
        <v>3888</v>
      </c>
      <c r="BF425" s="19">
        <f>SUM(BF401:BF424)</f>
        <v>6563</v>
      </c>
      <c r="BG425" s="19">
        <f>SUM(BG401:BG424)</f>
        <v>9498</v>
      </c>
    </row>
    <row r="426" spans="1:59" x14ac:dyDescent="0.3">
      <c r="A426" s="2" t="s">
        <v>44</v>
      </c>
      <c r="B426" s="2">
        <f>B425*(30-$AN398)</f>
        <v>53150</v>
      </c>
      <c r="C426" s="2">
        <f t="shared" ref="C426:D426" si="391">C425*(30-$AN398)</f>
        <v>36000</v>
      </c>
      <c r="D426" s="2">
        <f t="shared" si="391"/>
        <v>89150</v>
      </c>
      <c r="E426" s="328">
        <f>B426+AF426</f>
        <v>63780</v>
      </c>
      <c r="H426" s="124">
        <f>'Hoover with 30 MW Solar'!L44</f>
        <v>300.6543847333333</v>
      </c>
      <c r="I426" s="479" t="s">
        <v>470</v>
      </c>
      <c r="V426" s="2">
        <f>V425*30</f>
        <v>144630</v>
      </c>
      <c r="W426" s="35" t="s">
        <v>153</v>
      </c>
      <c r="X426" s="87">
        <f>-SUMIF(X401:X424,"&lt;0")</f>
        <v>2299</v>
      </c>
      <c r="Y426" s="92">
        <f>X426*(30-AN398)</f>
        <v>57475</v>
      </c>
      <c r="Z426" s="92" t="s">
        <v>217</v>
      </c>
      <c r="AE426" s="2" t="s">
        <v>44</v>
      </c>
      <c r="AF426" s="2">
        <f>AF425*$AN398</f>
        <v>10630</v>
      </c>
      <c r="AG426" s="2">
        <f t="shared" ref="AG426:AH426" si="392">AG425*$AN398</f>
        <v>7200</v>
      </c>
      <c r="AH426" s="2">
        <f t="shared" si="392"/>
        <v>17830</v>
      </c>
      <c r="AI426" s="92"/>
      <c r="AJ426" s="92"/>
      <c r="AK426" s="92"/>
      <c r="AL426" s="124">
        <f>H426</f>
        <v>300.6543847333333</v>
      </c>
      <c r="AM426" s="2"/>
      <c r="AN426" s="2"/>
      <c r="AO426" s="2"/>
      <c r="AP426" s="2"/>
      <c r="AQ426" s="92"/>
      <c r="AR426" s="92"/>
      <c r="AS426" s="92"/>
      <c r="AT426" s="92"/>
      <c r="AU426" s="92"/>
      <c r="AV426" s="92"/>
      <c r="AW426" s="92"/>
      <c r="AX426" s="92"/>
      <c r="AY426" s="92"/>
      <c r="AZ426" s="2"/>
      <c r="BA426" s="35" t="s">
        <v>216</v>
      </c>
      <c r="BB426" s="87">
        <f>-SUMIF(BB401:BB424,"&lt;0")</f>
        <v>3349</v>
      </c>
      <c r="BC426" s="92">
        <f>BB426*AN398</f>
        <v>16745</v>
      </c>
      <c r="BD426" s="92" t="s">
        <v>217</v>
      </c>
      <c r="BE426" s="92"/>
      <c r="BF426" s="92"/>
      <c r="BG426" s="92"/>
    </row>
    <row r="427" spans="1:59" x14ac:dyDescent="0.3">
      <c r="A427" s="2" t="s">
        <v>45</v>
      </c>
      <c r="B427" s="20">
        <f>ROUND(B425/48.35,0)</f>
        <v>44</v>
      </c>
      <c r="C427" s="294">
        <f>((B427*(30-AN398)+AF427*AN398)/30)</f>
        <v>44</v>
      </c>
      <c r="D427" s="294">
        <f>C427-Load!N35</f>
        <v>-4.430171277997367</v>
      </c>
      <c r="F427" s="21">
        <v>24.99</v>
      </c>
      <c r="G427" s="62">
        <f>D495</f>
        <v>48.474900000000005</v>
      </c>
      <c r="H427" s="98">
        <f>$F$479</f>
        <v>43.87</v>
      </c>
      <c r="I427" s="21">
        <v>33</v>
      </c>
      <c r="J427" s="21">
        <v>23.75</v>
      </c>
      <c r="K427" s="21">
        <v>23.9</v>
      </c>
      <c r="L427" s="21">
        <v>26.5</v>
      </c>
      <c r="M427" s="21">
        <v>25.5</v>
      </c>
      <c r="N427" s="21">
        <v>25.35</v>
      </c>
      <c r="O427" s="21"/>
      <c r="P427" s="21"/>
      <c r="Q427" s="21"/>
      <c r="R427" s="21"/>
      <c r="S427" s="21"/>
      <c r="T427" s="21"/>
      <c r="U427" s="21"/>
      <c r="X427" s="11">
        <f>SUM(X423:X424,X401:X406)</f>
        <v>-848</v>
      </c>
      <c r="Y427" s="92">
        <f>Y426+BC426</f>
        <v>74220</v>
      </c>
      <c r="Z427" s="92" t="s">
        <v>236</v>
      </c>
      <c r="AA427" s="92"/>
      <c r="AE427" s="2" t="s">
        <v>45</v>
      </c>
      <c r="AF427" s="20">
        <f>ROUND(AF425/48.35,0)</f>
        <v>44</v>
      </c>
      <c r="AG427" s="92"/>
      <c r="AH427" s="92"/>
      <c r="AI427" s="92"/>
      <c r="AJ427" s="21"/>
      <c r="AK427" s="21"/>
      <c r="AL427" s="21"/>
      <c r="AM427" s="21">
        <v>33</v>
      </c>
      <c r="AN427" s="21">
        <v>23.75</v>
      </c>
      <c r="AO427" s="21">
        <v>23.9</v>
      </c>
      <c r="AP427" s="21">
        <v>25.5</v>
      </c>
      <c r="AQ427" s="21">
        <v>25.35</v>
      </c>
      <c r="AR427" s="313"/>
      <c r="AS427" s="313"/>
      <c r="AT427" s="313"/>
      <c r="AU427" s="313"/>
      <c r="AV427" s="313"/>
      <c r="AW427" s="313"/>
      <c r="AX427" s="313"/>
      <c r="AY427" s="21">
        <f>AM427</f>
        <v>33</v>
      </c>
      <c r="AZ427" s="92"/>
      <c r="BA427" s="92"/>
      <c r="BB427" s="11">
        <f>SUM(BB423:BB424,BB401:BB406)</f>
        <v>-848</v>
      </c>
      <c r="BC427" s="92"/>
      <c r="BD427" s="92"/>
      <c r="BE427" s="92"/>
      <c r="BF427" s="92"/>
      <c r="BG427" s="92"/>
    </row>
    <row r="428" spans="1:59" x14ac:dyDescent="0.3">
      <c r="A428" s="2" t="s">
        <v>62</v>
      </c>
      <c r="B428" s="2">
        <f>SUM(B407:B422)</f>
        <v>1734</v>
      </c>
      <c r="C428" s="2">
        <f>SUM(C407:C422)</f>
        <v>960</v>
      </c>
      <c r="F428" s="40">
        <f>'Hoover with 30 MW Solar'!L30</f>
        <v>5360.6315420000001</v>
      </c>
      <c r="G428" s="40">
        <f>G425*30</f>
        <v>25200</v>
      </c>
      <c r="H428" s="40">
        <f>'Hoover with 30 MW Solar'!L31</f>
        <v>10859</v>
      </c>
      <c r="I428" s="40">
        <f t="shared" ref="I428:U428" si="393">I425*(30-$AN398)</f>
        <v>20000</v>
      </c>
      <c r="J428" s="40">
        <f t="shared" si="393"/>
        <v>10000</v>
      </c>
      <c r="K428" s="40">
        <f t="shared" si="393"/>
        <v>10000</v>
      </c>
      <c r="L428" s="40">
        <f t="shared" si="393"/>
        <v>20000</v>
      </c>
      <c r="M428" s="40">
        <f t="shared" si="393"/>
        <v>15000</v>
      </c>
      <c r="N428" s="40">
        <f t="shared" si="393"/>
        <v>11000</v>
      </c>
      <c r="O428" s="40">
        <f t="shared" si="393"/>
        <v>0</v>
      </c>
      <c r="P428" s="40">
        <f t="shared" si="393"/>
        <v>0</v>
      </c>
      <c r="Q428" s="40">
        <f t="shared" si="393"/>
        <v>0</v>
      </c>
      <c r="R428" s="40">
        <f t="shared" si="393"/>
        <v>0</v>
      </c>
      <c r="S428" s="40">
        <f t="shared" si="393"/>
        <v>0</v>
      </c>
      <c r="T428" s="40">
        <f t="shared" si="393"/>
        <v>0</v>
      </c>
      <c r="U428" s="40">
        <f t="shared" si="393"/>
        <v>-4800</v>
      </c>
      <c r="X428" s="13">
        <f>SUM(X407:X422)</f>
        <v>-407</v>
      </c>
      <c r="AE428" s="2" t="s">
        <v>62</v>
      </c>
      <c r="AF428" s="2">
        <f>SUM(AF407:AF422)</f>
        <v>1734</v>
      </c>
      <c r="AG428" s="2">
        <f>SUM(AG407:AG422)</f>
        <v>960</v>
      </c>
      <c r="AH428" s="92"/>
      <c r="AI428" s="92"/>
      <c r="AJ428" s="22"/>
      <c r="AK428" s="22"/>
      <c r="AL428" s="22"/>
      <c r="AM428" s="22">
        <f>AM425*$AN398</f>
        <v>4000</v>
      </c>
      <c r="AN428" s="22">
        <f t="shared" ref="AN428:AY428" si="394">AN425*$AN398</f>
        <v>6000</v>
      </c>
      <c r="AO428" s="22">
        <f t="shared" si="394"/>
        <v>6000</v>
      </c>
      <c r="AP428" s="22">
        <f t="shared" si="394"/>
        <v>3000</v>
      </c>
      <c r="AQ428" s="22">
        <f t="shared" si="394"/>
        <v>6600</v>
      </c>
      <c r="AR428" s="22">
        <f t="shared" si="394"/>
        <v>0</v>
      </c>
      <c r="AS428" s="22">
        <f t="shared" si="394"/>
        <v>0</v>
      </c>
      <c r="AT428" s="22">
        <f t="shared" si="394"/>
        <v>0</v>
      </c>
      <c r="AU428" s="22">
        <f t="shared" si="394"/>
        <v>0</v>
      </c>
      <c r="AV428" s="22">
        <f t="shared" si="394"/>
        <v>0</v>
      </c>
      <c r="AW428" s="22">
        <f t="shared" si="394"/>
        <v>0</v>
      </c>
      <c r="AX428" s="22">
        <f t="shared" si="394"/>
        <v>0</v>
      </c>
      <c r="AY428" s="22">
        <f t="shared" si="394"/>
        <v>-960</v>
      </c>
      <c r="AZ428" s="92"/>
      <c r="BA428" s="92"/>
      <c r="BB428" s="13">
        <f>SUM(BB407:BB422)</f>
        <v>-2087</v>
      </c>
      <c r="BC428" s="92"/>
      <c r="BD428" s="92"/>
      <c r="BE428" s="92"/>
      <c r="BF428" s="92"/>
      <c r="BG428" s="92"/>
    </row>
    <row r="429" spans="1:59" x14ac:dyDescent="0.3">
      <c r="A429" s="2" t="s">
        <v>63</v>
      </c>
      <c r="B429" s="2">
        <f>SUM(B423:B424,B401:B406)</f>
        <v>392</v>
      </c>
      <c r="C429" s="2">
        <f>SUM(C423:C424,C401:C406)</f>
        <v>480</v>
      </c>
      <c r="D429" s="24"/>
      <c r="E429" s="24"/>
      <c r="F429" s="26">
        <f t="shared" ref="F429" si="395">F428*F427</f>
        <v>133962.18223457999</v>
      </c>
      <c r="G429" s="26">
        <f t="shared" ref="G429" si="396">G428*G427</f>
        <v>1221567.4800000002</v>
      </c>
      <c r="H429" s="26">
        <f t="shared" ref="H429" si="397">H428*H427</f>
        <v>476384.32999999996</v>
      </c>
      <c r="I429" s="26">
        <f t="shared" ref="I429:U429" si="398">I428*I427</f>
        <v>660000</v>
      </c>
      <c r="J429" s="26">
        <f t="shared" si="398"/>
        <v>237500</v>
      </c>
      <c r="K429" s="26">
        <f t="shared" si="398"/>
        <v>239000</v>
      </c>
      <c r="L429" s="26">
        <f t="shared" si="398"/>
        <v>530000</v>
      </c>
      <c r="M429" s="26">
        <f t="shared" si="398"/>
        <v>382500</v>
      </c>
      <c r="N429" s="26">
        <f t="shared" si="398"/>
        <v>278850</v>
      </c>
      <c r="O429" s="26">
        <f t="shared" si="398"/>
        <v>0</v>
      </c>
      <c r="P429" s="26">
        <f t="shared" si="398"/>
        <v>0</v>
      </c>
      <c r="Q429" s="26">
        <f t="shared" si="398"/>
        <v>0</v>
      </c>
      <c r="R429" s="26">
        <f t="shared" si="398"/>
        <v>0</v>
      </c>
      <c r="S429" s="26">
        <f t="shared" si="398"/>
        <v>0</v>
      </c>
      <c r="T429" s="26">
        <f t="shared" si="398"/>
        <v>0</v>
      </c>
      <c r="U429" s="26">
        <f t="shared" si="398"/>
        <v>0</v>
      </c>
      <c r="W429" s="24"/>
      <c r="X429" s="24"/>
      <c r="Y429" s="24"/>
      <c r="Z429" s="24"/>
      <c r="AA429" s="24"/>
      <c r="AB429" s="24"/>
      <c r="AC429" s="24"/>
      <c r="AE429" s="2" t="s">
        <v>63</v>
      </c>
      <c r="AF429" s="2">
        <f>SUM(AF423:AF424,AF401:AF406)</f>
        <v>392</v>
      </c>
      <c r="AG429" s="2">
        <f>SUM(AG423:AG424,AG401:AG406)</f>
        <v>480</v>
      </c>
      <c r="AH429" s="24"/>
      <c r="AI429" s="24"/>
      <c r="AJ429" s="25"/>
      <c r="AK429" s="25"/>
      <c r="AL429" s="25"/>
      <c r="AM429" s="25">
        <f>AM428*AM427</f>
        <v>132000</v>
      </c>
      <c r="AN429" s="25">
        <f t="shared" ref="AN429:AY429" si="399">AN428*AN427</f>
        <v>142500</v>
      </c>
      <c r="AO429" s="25">
        <f t="shared" si="399"/>
        <v>143400</v>
      </c>
      <c r="AP429" s="25">
        <f t="shared" si="399"/>
        <v>76500</v>
      </c>
      <c r="AQ429" s="25">
        <f t="shared" si="399"/>
        <v>167310</v>
      </c>
      <c r="AR429" s="25">
        <f t="shared" si="399"/>
        <v>0</v>
      </c>
      <c r="AS429" s="25">
        <f t="shared" si="399"/>
        <v>0</v>
      </c>
      <c r="AT429" s="25">
        <f t="shared" si="399"/>
        <v>0</v>
      </c>
      <c r="AU429" s="25">
        <f t="shared" si="399"/>
        <v>0</v>
      </c>
      <c r="AV429" s="25">
        <f t="shared" si="399"/>
        <v>0</v>
      </c>
      <c r="AW429" s="25">
        <f t="shared" si="399"/>
        <v>0</v>
      </c>
      <c r="AX429" s="25">
        <f t="shared" si="399"/>
        <v>0</v>
      </c>
      <c r="AY429" s="25">
        <f t="shared" si="399"/>
        <v>-31680</v>
      </c>
      <c r="AZ429" s="24"/>
      <c r="BA429" s="24"/>
      <c r="BB429" s="24"/>
      <c r="BC429" s="24"/>
      <c r="BD429" s="24"/>
      <c r="BE429" s="24"/>
      <c r="BF429" s="24"/>
      <c r="BG429" s="24"/>
    </row>
    <row r="430" spans="1:59" x14ac:dyDescent="0.3">
      <c r="A430" s="23"/>
      <c r="B430" s="23"/>
      <c r="C430" s="35" t="s">
        <v>221</v>
      </c>
      <c r="D430" s="117">
        <f>D426+AH426</f>
        <v>106980</v>
      </c>
      <c r="E430" s="23"/>
      <c r="F430" s="24"/>
      <c r="G430" s="24"/>
      <c r="H430" s="24"/>
      <c r="I430" s="116" t="s">
        <v>222</v>
      </c>
      <c r="J430" s="25">
        <f>SUM(F429:T429)+SUM(AM429:AX429)</f>
        <v>4821473.9922345802</v>
      </c>
      <c r="K430" s="23"/>
      <c r="L430" s="92"/>
      <c r="M430" s="92"/>
      <c r="W430" s="23"/>
      <c r="X430" s="11">
        <f>X427*(30-AN398)</f>
        <v>-21200</v>
      </c>
      <c r="Y430" s="23"/>
      <c r="Z430" s="23"/>
      <c r="AA430" s="23"/>
      <c r="AB430" s="23"/>
      <c r="AC430" s="23"/>
      <c r="AE430" s="23"/>
      <c r="AF430" s="23"/>
      <c r="AG430" s="23"/>
      <c r="AH430" s="23"/>
      <c r="AI430" s="23"/>
      <c r="AJ430" s="23"/>
      <c r="AK430" s="23"/>
      <c r="AL430" s="23"/>
      <c r="AM430" s="23"/>
      <c r="AN430" s="25"/>
      <c r="AO430" s="23"/>
      <c r="AP430" s="92"/>
      <c r="AQ430" s="92"/>
      <c r="AR430" s="92"/>
      <c r="AS430" s="92"/>
      <c r="AT430" s="92"/>
      <c r="AU430" s="92"/>
      <c r="AV430" s="92"/>
      <c r="AW430" s="92"/>
      <c r="AX430" s="92"/>
      <c r="AY430" s="92"/>
      <c r="AZ430" s="92"/>
      <c r="BA430" s="23"/>
      <c r="BB430" s="11">
        <f>BB427*AN398</f>
        <v>-4240</v>
      </c>
      <c r="BC430" s="23"/>
      <c r="BD430" s="23"/>
      <c r="BE430" s="23"/>
      <c r="BF430" s="23"/>
      <c r="BG430" s="23"/>
    </row>
    <row r="431" spans="1:59" x14ac:dyDescent="0.3">
      <c r="C431" s="35" t="s">
        <v>131</v>
      </c>
      <c r="D431" s="36">
        <f>D426+AH426-Load!S18</f>
        <v>-9403.5421434714808</v>
      </c>
      <c r="F431" s="23"/>
      <c r="G431" s="23"/>
      <c r="H431" s="23"/>
      <c r="I431" s="23" t="s">
        <v>172</v>
      </c>
      <c r="J431" s="22">
        <f>SUM(F428:T428)+SUM(AM428:AX428)</f>
        <v>153019.63154199999</v>
      </c>
      <c r="K431" s="39">
        <f>J431/D430</f>
        <v>1.4303573709291455</v>
      </c>
      <c r="L431" s="92" t="s">
        <v>223</v>
      </c>
      <c r="M431" s="92"/>
      <c r="X431" s="13">
        <f>X428*(30-AN398)</f>
        <v>-10175</v>
      </c>
      <c r="AE431" s="92"/>
      <c r="AF431" s="92"/>
      <c r="AG431" s="35"/>
      <c r="AH431" s="36"/>
      <c r="AI431" s="92"/>
      <c r="AJ431" s="92"/>
      <c r="AK431" s="92"/>
      <c r="AL431" s="92"/>
      <c r="AM431" s="23"/>
      <c r="AN431" s="22"/>
      <c r="AO431" s="39"/>
      <c r="AP431" s="92"/>
      <c r="AQ431" s="92"/>
      <c r="AR431" s="92"/>
      <c r="AS431" s="92"/>
      <c r="AT431" s="92"/>
      <c r="AU431" s="92"/>
      <c r="AV431" s="92"/>
      <c r="AW431" s="92"/>
      <c r="AX431" s="92"/>
      <c r="AY431" s="92"/>
      <c r="AZ431" s="92"/>
      <c r="BA431" s="92"/>
      <c r="BB431" s="13">
        <f>BB428*AN398</f>
        <v>-10435</v>
      </c>
      <c r="BC431" s="92"/>
      <c r="BD431" s="92"/>
      <c r="BE431" s="92"/>
      <c r="BF431" s="92"/>
      <c r="BG431" s="92"/>
    </row>
    <row r="432" spans="1:59" ht="15" thickBot="1" x14ac:dyDescent="0.35">
      <c r="A432" s="313"/>
      <c r="B432" s="313"/>
      <c r="C432" s="35" t="s">
        <v>383</v>
      </c>
      <c r="D432" s="49">
        <f>C427*30*50.6</f>
        <v>66792</v>
      </c>
      <c r="I432" s="23" t="s">
        <v>47</v>
      </c>
      <c r="J432" s="21">
        <f>J430/J431</f>
        <v>31.50885898526823</v>
      </c>
      <c r="L432" s="92"/>
      <c r="M432" s="92" t="s">
        <v>100</v>
      </c>
      <c r="X432" s="37">
        <f>SUM(X430:X431)+Y426+BB432</f>
        <v>28170</v>
      </c>
      <c r="Y432" t="s">
        <v>159</v>
      </c>
      <c r="AE432" s="23"/>
      <c r="AF432" s="92"/>
      <c r="AG432" s="92"/>
      <c r="AH432" s="92"/>
      <c r="AI432" s="92"/>
      <c r="AJ432" s="92"/>
      <c r="AK432" s="92"/>
      <c r="AL432" s="92"/>
      <c r="AM432" s="23"/>
      <c r="AN432" s="21"/>
      <c r="AO432" s="92"/>
      <c r="AP432" s="92"/>
      <c r="AQ432" s="92"/>
      <c r="AR432" s="92"/>
      <c r="AS432" s="92"/>
      <c r="AT432" s="92"/>
      <c r="AU432" s="92"/>
      <c r="AV432" s="92"/>
      <c r="AW432" s="92"/>
      <c r="AX432" s="92"/>
      <c r="AY432" s="92"/>
      <c r="AZ432" s="92"/>
      <c r="BA432" s="92"/>
      <c r="BB432" s="37">
        <f>SUM(BB430:BB431)+BC426</f>
        <v>2070</v>
      </c>
      <c r="BC432" s="92" t="s">
        <v>218</v>
      </c>
      <c r="BD432" s="92"/>
      <c r="BE432" s="92"/>
      <c r="BF432" s="92"/>
      <c r="BG432" s="92"/>
    </row>
    <row r="433" spans="1:59" x14ac:dyDescent="0.3">
      <c r="A433" s="313"/>
      <c r="B433" s="313"/>
      <c r="C433" s="35" t="s">
        <v>384</v>
      </c>
      <c r="D433" s="36">
        <f>D432-Load!N33</f>
        <v>-6725</v>
      </c>
      <c r="I433" s="67" t="s">
        <v>171</v>
      </c>
      <c r="J433" s="68">
        <f>SUM(I428:T428)+SUM(AM428:AX428)</f>
        <v>111600</v>
      </c>
      <c r="L433" s="92" t="s">
        <v>233</v>
      </c>
      <c r="M433" s="31">
        <f>SUM(I428:N428)+SUM(AM428:AR428)</f>
        <v>111600</v>
      </c>
      <c r="X433" s="93">
        <f>(SUM(X430:X431)+Y426)*Y433+BB434</f>
        <v>1126800</v>
      </c>
      <c r="Y433" s="57">
        <v>40</v>
      </c>
      <c r="Z433" t="s">
        <v>160</v>
      </c>
      <c r="AE433" s="23"/>
      <c r="AF433" s="92"/>
      <c r="AG433" s="92"/>
      <c r="AH433" s="92"/>
      <c r="AI433" s="92"/>
      <c r="AJ433" s="92"/>
      <c r="AK433" s="92"/>
      <c r="AL433" s="92"/>
      <c r="AM433" s="92"/>
      <c r="AN433" s="92"/>
      <c r="AO433" s="92"/>
      <c r="AP433" s="92"/>
      <c r="AQ433" s="92"/>
      <c r="AR433" s="92"/>
      <c r="AS433" s="92"/>
      <c r="AT433" s="92"/>
      <c r="AU433" s="92"/>
      <c r="AV433" s="92"/>
      <c r="AW433" s="92"/>
      <c r="AX433" s="92"/>
      <c r="AY433" s="92"/>
      <c r="AZ433" s="92"/>
      <c r="BA433" s="92"/>
      <c r="BB433" s="93">
        <f>BB432*BC433</f>
        <v>82800</v>
      </c>
      <c r="BC433" s="93">
        <f>Y433</f>
        <v>40</v>
      </c>
      <c r="BD433" s="92" t="s">
        <v>160</v>
      </c>
      <c r="BE433" s="92"/>
      <c r="BF433" s="92"/>
      <c r="BG433" s="92"/>
    </row>
    <row r="434" spans="1:59" x14ac:dyDescent="0.3">
      <c r="I434" s="69" t="s">
        <v>18</v>
      </c>
      <c r="J434" s="70">
        <f>SUM(I429:T429)+SUM(AM429:AX429)</f>
        <v>2989560</v>
      </c>
      <c r="L434" s="92" t="s">
        <v>235</v>
      </c>
      <c r="M434" s="31">
        <f>SUM(O428:T428)+SUM(AS428:AX428)</f>
        <v>0</v>
      </c>
      <c r="X434" s="79">
        <f>X433+J434</f>
        <v>4116360</v>
      </c>
      <c r="Y434" t="s">
        <v>161</v>
      </c>
      <c r="AE434" s="23"/>
      <c r="AF434" s="92"/>
      <c r="AG434" s="92"/>
      <c r="AH434" s="92"/>
      <c r="AI434" s="92"/>
      <c r="AJ434" s="92"/>
      <c r="AK434" s="92"/>
      <c r="AL434" s="92"/>
      <c r="AM434" s="92"/>
      <c r="AN434" s="92"/>
      <c r="AO434" s="92"/>
      <c r="AP434" s="92"/>
      <c r="AQ434" s="92"/>
      <c r="AR434" s="92"/>
      <c r="AS434" s="92"/>
      <c r="AT434" s="92"/>
      <c r="AU434" s="92"/>
      <c r="AV434" s="92"/>
      <c r="AW434" s="92"/>
      <c r="AX434" s="92"/>
      <c r="AY434" s="92"/>
      <c r="AZ434" s="92"/>
      <c r="BA434" s="92"/>
      <c r="BB434" s="79">
        <f>BB433</f>
        <v>82800</v>
      </c>
      <c r="BC434" s="92" t="s">
        <v>219</v>
      </c>
      <c r="BD434" s="92"/>
      <c r="BE434" s="92"/>
      <c r="BF434" s="92"/>
      <c r="BG434" s="92"/>
    </row>
    <row r="435" spans="1:59" ht="15" thickBot="1" x14ac:dyDescent="0.35">
      <c r="I435" s="71" t="s">
        <v>156</v>
      </c>
      <c r="J435" s="72">
        <f>J434/J433</f>
        <v>26.788172043010753</v>
      </c>
      <c r="W435" s="38" t="s">
        <v>193</v>
      </c>
      <c r="X435" s="80">
        <f>J433+X432</f>
        <v>139770</v>
      </c>
      <c r="Y435" s="79">
        <f>X434/X435</f>
        <v>29.45095514058811</v>
      </c>
      <c r="AE435" s="92"/>
      <c r="AF435" s="92"/>
      <c r="AG435" s="92"/>
      <c r="AH435" s="92"/>
      <c r="AI435" s="92"/>
      <c r="AJ435" s="92"/>
      <c r="AK435" s="92"/>
      <c r="AL435" s="92"/>
      <c r="AM435" s="92"/>
      <c r="AN435" s="92"/>
      <c r="AO435" s="92"/>
      <c r="AP435" s="92"/>
      <c r="AQ435" s="92"/>
      <c r="AR435" s="92"/>
      <c r="AS435" s="92"/>
      <c r="AT435" s="92"/>
      <c r="AU435" s="92"/>
      <c r="AV435" s="92"/>
      <c r="AW435" s="92"/>
      <c r="AX435" s="92"/>
      <c r="AY435" s="92"/>
      <c r="AZ435" s="92"/>
      <c r="BA435" s="92"/>
      <c r="BB435" s="92"/>
      <c r="BC435" s="92"/>
      <c r="BD435" s="92"/>
      <c r="BE435" s="92"/>
      <c r="BF435" s="92"/>
      <c r="BG435" s="92"/>
    </row>
    <row r="438" spans="1:59" x14ac:dyDescent="0.3">
      <c r="AE438" s="92"/>
      <c r="AF438" s="92"/>
      <c r="AG438" s="92"/>
      <c r="AH438" s="92"/>
      <c r="AI438" s="92"/>
      <c r="AJ438" s="92"/>
      <c r="AK438" s="92"/>
      <c r="AL438" s="92"/>
      <c r="AM438" s="92"/>
      <c r="AN438" s="115" t="s">
        <v>215</v>
      </c>
      <c r="AO438" s="92"/>
      <c r="AP438" s="92"/>
      <c r="AQ438" s="92"/>
      <c r="AR438" s="92"/>
      <c r="AS438" s="92"/>
      <c r="AT438" s="92"/>
      <c r="AU438" s="92"/>
      <c r="AV438" s="92"/>
      <c r="AW438" s="92"/>
      <c r="AX438" s="92"/>
      <c r="AY438" s="92"/>
      <c r="AZ438" s="92"/>
      <c r="BA438" s="92"/>
      <c r="BB438" s="92"/>
      <c r="BC438" s="92"/>
      <c r="BD438" s="92"/>
      <c r="BE438" s="92"/>
      <c r="BF438" s="92"/>
      <c r="BG438" s="92"/>
    </row>
    <row r="439" spans="1:59" ht="15" thickBot="1" x14ac:dyDescent="0.35">
      <c r="A439" s="2" t="s">
        <v>61</v>
      </c>
      <c r="F439" s="87"/>
      <c r="U439" s="37" t="s">
        <v>237</v>
      </c>
      <c r="X439" s="91" t="s">
        <v>0</v>
      </c>
      <c r="Z439" s="481" t="s">
        <v>1</v>
      </c>
      <c r="AA439" s="482"/>
      <c r="AC439" s="1" t="s">
        <v>75</v>
      </c>
      <c r="AE439" s="2" t="s">
        <v>61</v>
      </c>
      <c r="AF439" s="92"/>
      <c r="AG439" s="92"/>
      <c r="AH439" s="92"/>
      <c r="AI439" s="92"/>
      <c r="AJ439" s="92"/>
      <c r="AK439" s="92"/>
      <c r="AL439" s="92"/>
      <c r="AM439" s="37" t="s">
        <v>214</v>
      </c>
      <c r="AN439" s="322">
        <v>5</v>
      </c>
      <c r="AO439" s="313"/>
      <c r="AP439" s="313"/>
      <c r="AQ439" s="313"/>
      <c r="AR439" s="313"/>
      <c r="AS439" s="313"/>
      <c r="AT439" s="313"/>
      <c r="AU439" s="313"/>
      <c r="AV439" s="313"/>
      <c r="AW439" s="313"/>
      <c r="AX439" s="313"/>
      <c r="AY439" s="37" t="s">
        <v>237</v>
      </c>
      <c r="AZ439" s="92"/>
      <c r="BA439" s="92"/>
      <c r="BB439" s="114" t="s">
        <v>0</v>
      </c>
      <c r="BC439" s="92"/>
      <c r="BD439" s="481" t="s">
        <v>1</v>
      </c>
      <c r="BE439" s="483"/>
      <c r="BF439" s="482"/>
      <c r="BG439" s="1" t="s">
        <v>75</v>
      </c>
    </row>
    <row r="440" spans="1:59" x14ac:dyDescent="0.3">
      <c r="F440" s="87" t="s">
        <v>415</v>
      </c>
      <c r="I440" s="73" t="s">
        <v>405</v>
      </c>
      <c r="J440" s="74" t="s">
        <v>226</v>
      </c>
      <c r="K440" s="74" t="s">
        <v>3</v>
      </c>
      <c r="L440" s="74" t="s">
        <v>226</v>
      </c>
      <c r="M440" s="74" t="s">
        <v>226</v>
      </c>
      <c r="N440" s="74" t="s">
        <v>226</v>
      </c>
      <c r="O440" s="74"/>
      <c r="P440" s="104"/>
      <c r="Q440" s="104"/>
      <c r="R440" s="104"/>
      <c r="S440" s="104"/>
      <c r="T440" s="104"/>
      <c r="U440" s="105" t="s">
        <v>2</v>
      </c>
      <c r="X440" s="3" t="s">
        <v>4</v>
      </c>
      <c r="Z440" s="3" t="s">
        <v>4</v>
      </c>
      <c r="AA440" s="4" t="s">
        <v>4</v>
      </c>
      <c r="AB440" s="5" t="s">
        <v>4</v>
      </c>
      <c r="AC440" s="5" t="s">
        <v>6</v>
      </c>
      <c r="AE440" s="92"/>
      <c r="AF440" s="92"/>
      <c r="AG440" s="92"/>
      <c r="AH440" s="92"/>
      <c r="AI440" s="92"/>
      <c r="AJ440" s="92"/>
      <c r="AK440" s="92"/>
      <c r="AL440" s="92"/>
      <c r="AM440" s="73" t="s">
        <v>405</v>
      </c>
      <c r="AN440" s="74" t="s">
        <v>226</v>
      </c>
      <c r="AO440" s="74" t="s">
        <v>3</v>
      </c>
      <c r="AP440" s="74" t="s">
        <v>226</v>
      </c>
      <c r="AQ440" s="74" t="s">
        <v>226</v>
      </c>
      <c r="AR440" s="74"/>
      <c r="AS440" s="74"/>
      <c r="AT440" s="104"/>
      <c r="AU440" s="104"/>
      <c r="AV440" s="104"/>
      <c r="AW440" s="104"/>
      <c r="AX440" s="104"/>
      <c r="AY440" s="105" t="s">
        <v>2</v>
      </c>
      <c r="AZ440" s="92"/>
      <c r="BA440" s="92"/>
      <c r="BB440" s="3" t="s">
        <v>4</v>
      </c>
      <c r="BC440" s="92"/>
      <c r="BD440" s="3" t="s">
        <v>4</v>
      </c>
      <c r="BE440" s="4" t="s">
        <v>4</v>
      </c>
      <c r="BF440" s="5" t="s">
        <v>4</v>
      </c>
      <c r="BG440" s="5" t="s">
        <v>6</v>
      </c>
    </row>
    <row r="441" spans="1:59" ht="15" thickBot="1" x14ac:dyDescent="0.35">
      <c r="A441" s="2" t="s">
        <v>7</v>
      </c>
      <c r="B441" s="2" t="s">
        <v>8</v>
      </c>
      <c r="C441" s="2" t="s">
        <v>9</v>
      </c>
      <c r="D441" s="2" t="s">
        <v>10</v>
      </c>
      <c r="E441" s="2" t="s">
        <v>7</v>
      </c>
      <c r="F441" s="2" t="s">
        <v>11</v>
      </c>
      <c r="G441" s="2" t="s">
        <v>12</v>
      </c>
      <c r="H441" s="2" t="s">
        <v>13</v>
      </c>
      <c r="I441" s="75" t="s">
        <v>51</v>
      </c>
      <c r="J441" s="76" t="s">
        <v>15</v>
      </c>
      <c r="K441" s="76" t="s">
        <v>15</v>
      </c>
      <c r="L441" s="76" t="s">
        <v>15</v>
      </c>
      <c r="M441" s="76" t="s">
        <v>15</v>
      </c>
      <c r="N441" s="76" t="s">
        <v>15</v>
      </c>
      <c r="O441" s="76"/>
      <c r="P441" s="106"/>
      <c r="Q441" s="106"/>
      <c r="R441" s="106"/>
      <c r="S441" s="106"/>
      <c r="T441" s="106"/>
      <c r="U441" s="107" t="s">
        <v>14</v>
      </c>
      <c r="V441" s="2" t="s">
        <v>16</v>
      </c>
      <c r="X441" s="6" t="s">
        <v>17</v>
      </c>
      <c r="Z441" s="6" t="s">
        <v>5</v>
      </c>
      <c r="AA441" s="7" t="s">
        <v>15</v>
      </c>
      <c r="AB441" s="8" t="s">
        <v>18</v>
      </c>
      <c r="AC441" s="8" t="s">
        <v>0</v>
      </c>
      <c r="AE441" s="2" t="s">
        <v>7</v>
      </c>
      <c r="AF441" s="2" t="s">
        <v>8</v>
      </c>
      <c r="AG441" s="2" t="s">
        <v>9</v>
      </c>
      <c r="AH441" s="2" t="s">
        <v>10</v>
      </c>
      <c r="AI441" s="2" t="s">
        <v>7</v>
      </c>
      <c r="AJ441" s="2" t="s">
        <v>11</v>
      </c>
      <c r="AK441" s="2" t="s">
        <v>12</v>
      </c>
      <c r="AL441" s="2" t="s">
        <v>13</v>
      </c>
      <c r="AM441" s="75" t="s">
        <v>51</v>
      </c>
      <c r="AN441" s="76" t="s">
        <v>15</v>
      </c>
      <c r="AO441" s="76" t="s">
        <v>15</v>
      </c>
      <c r="AP441" s="76" t="s">
        <v>15</v>
      </c>
      <c r="AQ441" s="76" t="s">
        <v>15</v>
      </c>
      <c r="AR441" s="76"/>
      <c r="AS441" s="76"/>
      <c r="AT441" s="106"/>
      <c r="AU441" s="106"/>
      <c r="AV441" s="106"/>
      <c r="AW441" s="106"/>
      <c r="AX441" s="106"/>
      <c r="AY441" s="107" t="s">
        <v>14</v>
      </c>
      <c r="AZ441" s="2" t="s">
        <v>16</v>
      </c>
      <c r="BA441" s="92"/>
      <c r="BB441" s="6" t="s">
        <v>17</v>
      </c>
      <c r="BC441" s="92"/>
      <c r="BD441" s="6" t="s">
        <v>5</v>
      </c>
      <c r="BE441" s="7" t="s">
        <v>15</v>
      </c>
      <c r="BF441" s="8" t="s">
        <v>18</v>
      </c>
      <c r="BG441" s="8" t="s">
        <v>0</v>
      </c>
    </row>
    <row r="442" spans="1:59" x14ac:dyDescent="0.3">
      <c r="A442" s="9" t="s">
        <v>19</v>
      </c>
      <c r="B442" s="314">
        <v>49</v>
      </c>
      <c r="C442" s="99">
        <f>ROUND(Load!$O$43+'2022'!$E$467*0.485/744,0)</f>
        <v>57</v>
      </c>
      <c r="D442" s="2">
        <f t="shared" ref="D442:D465" si="400">SUM(B442:C442)</f>
        <v>106</v>
      </c>
      <c r="E442" s="9" t="s">
        <v>19</v>
      </c>
      <c r="F442" s="2"/>
      <c r="G442" s="2">
        <v>35</v>
      </c>
      <c r="H442" s="2"/>
      <c r="I442" s="73"/>
      <c r="J442" s="74">
        <v>50</v>
      </c>
      <c r="K442" s="74">
        <v>50</v>
      </c>
      <c r="L442" s="74"/>
      <c r="M442" s="74">
        <v>25</v>
      </c>
      <c r="N442" s="74">
        <v>55</v>
      </c>
      <c r="O442" s="74"/>
      <c r="P442" s="104"/>
      <c r="Q442" s="104"/>
      <c r="R442" s="104"/>
      <c r="S442" s="104"/>
      <c r="T442" s="104"/>
      <c r="U442" s="105"/>
      <c r="V442" s="2">
        <f t="shared" ref="V442:V465" si="401">SUM(F442:U442)</f>
        <v>215</v>
      </c>
      <c r="W442" s="10"/>
      <c r="X442" s="11">
        <f t="shared" ref="X442:X465" si="402">D442-V442</f>
        <v>-109</v>
      </c>
      <c r="Y442" s="10"/>
      <c r="Z442" s="12">
        <f>142-F442-H442</f>
        <v>142</v>
      </c>
      <c r="AA442" s="12">
        <f>292-J442-K442-L442-M442-N442</f>
        <v>112</v>
      </c>
      <c r="AB442" s="2">
        <f t="shared" ref="AB442:AB465" si="403">Z442+AA442</f>
        <v>254</v>
      </c>
      <c r="AC442" s="2">
        <f t="shared" ref="AC442:AC465" si="404">Z442+AA442-X442</f>
        <v>363</v>
      </c>
      <c r="AE442" s="9" t="s">
        <v>19</v>
      </c>
      <c r="AF442" s="2">
        <v>49</v>
      </c>
      <c r="AG442" s="99">
        <f>ROUND(Load!$O$43+'2022'!$E$467*0.485/744,0)</f>
        <v>57</v>
      </c>
      <c r="AH442" s="2">
        <f t="shared" ref="AH442:AH465" si="405">SUM(AF442:AG442)</f>
        <v>106</v>
      </c>
      <c r="AI442" s="9" t="s">
        <v>19</v>
      </c>
      <c r="AJ442" s="2"/>
      <c r="AK442" s="2">
        <v>35</v>
      </c>
      <c r="AL442" s="2"/>
      <c r="AM442" s="73"/>
      <c r="AN442" s="74">
        <v>50</v>
      </c>
      <c r="AO442" s="74">
        <v>50</v>
      </c>
      <c r="AP442" s="74">
        <v>25</v>
      </c>
      <c r="AQ442" s="74">
        <v>55</v>
      </c>
      <c r="AR442" s="74"/>
      <c r="AS442" s="74"/>
      <c r="AT442" s="104"/>
      <c r="AU442" s="104"/>
      <c r="AV442" s="104"/>
      <c r="AW442" s="104"/>
      <c r="AX442" s="104"/>
      <c r="AY442" s="105"/>
      <c r="AZ442" s="2">
        <f t="shared" ref="AZ442:AZ465" si="406">SUM(AJ442:AY442)</f>
        <v>215</v>
      </c>
      <c r="BA442" s="10"/>
      <c r="BB442" s="11">
        <f t="shared" ref="BB442:BB465" si="407">AH442-AZ442</f>
        <v>-109</v>
      </c>
      <c r="BC442" s="10"/>
      <c r="BD442" s="12">
        <f t="shared" ref="BD442:BD465" si="408">142-AJ442-AL442</f>
        <v>142</v>
      </c>
      <c r="BE442" s="12">
        <f>292-AN442-AO442-AP442-AQ442</f>
        <v>112</v>
      </c>
      <c r="BF442" s="2">
        <f t="shared" ref="BF442:BF465" si="409">BD442+BE442</f>
        <v>254</v>
      </c>
      <c r="BG442" s="2">
        <f t="shared" ref="BG442:BG465" si="410">BD442+BE442-BB442</f>
        <v>363</v>
      </c>
    </row>
    <row r="443" spans="1:59" x14ac:dyDescent="0.3">
      <c r="A443" s="9" t="s">
        <v>20</v>
      </c>
      <c r="B443" s="314">
        <v>49</v>
      </c>
      <c r="C443" s="99">
        <f>ROUND(Load!$O$43+'2022'!$E$467*0.485/744,0)</f>
        <v>57</v>
      </c>
      <c r="D443" s="2">
        <f t="shared" si="400"/>
        <v>106</v>
      </c>
      <c r="E443" s="9" t="s">
        <v>20</v>
      </c>
      <c r="F443" s="2"/>
      <c r="G443" s="2">
        <v>35</v>
      </c>
      <c r="H443" s="2"/>
      <c r="I443" s="77"/>
      <c r="J443" s="78">
        <v>50</v>
      </c>
      <c r="K443" s="78">
        <v>50</v>
      </c>
      <c r="L443" s="78"/>
      <c r="M443" s="78">
        <v>25</v>
      </c>
      <c r="N443" s="78">
        <v>55</v>
      </c>
      <c r="O443" s="78"/>
      <c r="P443" s="108"/>
      <c r="Q443" s="108"/>
      <c r="R443" s="108"/>
      <c r="S443" s="108"/>
      <c r="T443" s="108"/>
      <c r="U443" s="109"/>
      <c r="V443" s="2">
        <f t="shared" si="401"/>
        <v>215</v>
      </c>
      <c r="W443" s="10"/>
      <c r="X443" s="11">
        <f t="shared" si="402"/>
        <v>-109</v>
      </c>
      <c r="Y443" s="10"/>
      <c r="Z443" s="12">
        <f t="shared" ref="Z443:Z465" si="411">142-F443-H443</f>
        <v>142</v>
      </c>
      <c r="AA443" s="12">
        <f t="shared" ref="AA443:AA447" si="412">292-J443-K443-L443-M443-N443</f>
        <v>112</v>
      </c>
      <c r="AB443" s="2">
        <f t="shared" si="403"/>
        <v>254</v>
      </c>
      <c r="AC443" s="2">
        <f t="shared" si="404"/>
        <v>363</v>
      </c>
      <c r="AE443" s="9" t="s">
        <v>20</v>
      </c>
      <c r="AF443" s="2">
        <v>49</v>
      </c>
      <c r="AG443" s="99">
        <f>ROUND(Load!$O$43+'2022'!$E$467*0.485/744,0)</f>
        <v>57</v>
      </c>
      <c r="AH443" s="2">
        <f t="shared" si="405"/>
        <v>106</v>
      </c>
      <c r="AI443" s="9" t="s">
        <v>20</v>
      </c>
      <c r="AJ443" s="2"/>
      <c r="AK443" s="2">
        <v>35</v>
      </c>
      <c r="AL443" s="2"/>
      <c r="AM443" s="77"/>
      <c r="AN443" s="78">
        <v>50</v>
      </c>
      <c r="AO443" s="78">
        <v>50</v>
      </c>
      <c r="AP443" s="78">
        <v>25</v>
      </c>
      <c r="AQ443" s="78">
        <v>55</v>
      </c>
      <c r="AR443" s="78"/>
      <c r="AS443" s="78"/>
      <c r="AT443" s="108"/>
      <c r="AU443" s="108"/>
      <c r="AV443" s="108"/>
      <c r="AW443" s="108"/>
      <c r="AX443" s="108"/>
      <c r="AY443" s="109"/>
      <c r="AZ443" s="2">
        <f t="shared" si="406"/>
        <v>215</v>
      </c>
      <c r="BA443" s="10"/>
      <c r="BB443" s="11">
        <f t="shared" si="407"/>
        <v>-109</v>
      </c>
      <c r="BC443" s="10"/>
      <c r="BD443" s="12">
        <f t="shared" si="408"/>
        <v>142</v>
      </c>
      <c r="BE443" s="12">
        <f t="shared" ref="BE443:BE465" si="413">292-AN443-AO443-AP443-AQ443</f>
        <v>112</v>
      </c>
      <c r="BF443" s="2">
        <f t="shared" si="409"/>
        <v>254</v>
      </c>
      <c r="BG443" s="2">
        <f t="shared" si="410"/>
        <v>363</v>
      </c>
    </row>
    <row r="444" spans="1:59" x14ac:dyDescent="0.3">
      <c r="A444" s="9" t="s">
        <v>21</v>
      </c>
      <c r="B444" s="314">
        <v>49</v>
      </c>
      <c r="C444" s="99">
        <f>ROUND(Load!$O$43+'2022'!$E$467*0.485/744,0)</f>
        <v>57</v>
      </c>
      <c r="D444" s="2">
        <f t="shared" si="400"/>
        <v>106</v>
      </c>
      <c r="E444" s="9" t="s">
        <v>21</v>
      </c>
      <c r="F444" s="2"/>
      <c r="G444" s="2">
        <v>35</v>
      </c>
      <c r="H444" s="2"/>
      <c r="I444" s="77"/>
      <c r="J444" s="78">
        <v>50</v>
      </c>
      <c r="K444" s="78">
        <v>50</v>
      </c>
      <c r="L444" s="78"/>
      <c r="M444" s="78">
        <v>25</v>
      </c>
      <c r="N444" s="78">
        <v>55</v>
      </c>
      <c r="O444" s="78"/>
      <c r="P444" s="108"/>
      <c r="Q444" s="108"/>
      <c r="R444" s="108"/>
      <c r="S444" s="108"/>
      <c r="T444" s="108"/>
      <c r="U444" s="109"/>
      <c r="V444" s="2">
        <f t="shared" si="401"/>
        <v>215</v>
      </c>
      <c r="W444" s="10"/>
      <c r="X444" s="11">
        <f t="shared" si="402"/>
        <v>-109</v>
      </c>
      <c r="Y444" s="10"/>
      <c r="Z444" s="12">
        <f t="shared" si="411"/>
        <v>142</v>
      </c>
      <c r="AA444" s="12">
        <f t="shared" si="412"/>
        <v>112</v>
      </c>
      <c r="AB444" s="2">
        <f t="shared" si="403"/>
        <v>254</v>
      </c>
      <c r="AC444" s="2">
        <f t="shared" si="404"/>
        <v>363</v>
      </c>
      <c r="AE444" s="9" t="s">
        <v>21</v>
      </c>
      <c r="AF444" s="2">
        <v>49</v>
      </c>
      <c r="AG444" s="99">
        <f>ROUND(Load!$O$43+'2022'!$E$467*0.485/744,0)</f>
        <v>57</v>
      </c>
      <c r="AH444" s="2">
        <f t="shared" si="405"/>
        <v>106</v>
      </c>
      <c r="AI444" s="9" t="s">
        <v>21</v>
      </c>
      <c r="AJ444" s="2"/>
      <c r="AK444" s="2">
        <v>35</v>
      </c>
      <c r="AL444" s="2"/>
      <c r="AM444" s="77"/>
      <c r="AN444" s="78">
        <v>50</v>
      </c>
      <c r="AO444" s="78">
        <v>50</v>
      </c>
      <c r="AP444" s="78">
        <v>25</v>
      </c>
      <c r="AQ444" s="78">
        <v>55</v>
      </c>
      <c r="AR444" s="78"/>
      <c r="AS444" s="78"/>
      <c r="AT444" s="108"/>
      <c r="AU444" s="108"/>
      <c r="AV444" s="108"/>
      <c r="AW444" s="108"/>
      <c r="AX444" s="108"/>
      <c r="AY444" s="109"/>
      <c r="AZ444" s="2">
        <f t="shared" si="406"/>
        <v>215</v>
      </c>
      <c r="BA444" s="10"/>
      <c r="BB444" s="11">
        <f t="shared" si="407"/>
        <v>-109</v>
      </c>
      <c r="BC444" s="10"/>
      <c r="BD444" s="12">
        <f t="shared" si="408"/>
        <v>142</v>
      </c>
      <c r="BE444" s="12">
        <f t="shared" si="413"/>
        <v>112</v>
      </c>
      <c r="BF444" s="2">
        <f t="shared" si="409"/>
        <v>254</v>
      </c>
      <c r="BG444" s="2">
        <f t="shared" si="410"/>
        <v>363</v>
      </c>
    </row>
    <row r="445" spans="1:59" x14ac:dyDescent="0.3">
      <c r="A445" s="9" t="s">
        <v>22</v>
      </c>
      <c r="B445" s="314">
        <v>49</v>
      </c>
      <c r="C445" s="99">
        <f>ROUND(Load!$O$43+'2022'!$E$467*0.485/744,0)</f>
        <v>57</v>
      </c>
      <c r="D445" s="2">
        <f t="shared" si="400"/>
        <v>106</v>
      </c>
      <c r="E445" s="9" t="s">
        <v>22</v>
      </c>
      <c r="F445" s="2"/>
      <c r="G445" s="2">
        <v>35</v>
      </c>
      <c r="H445" s="2"/>
      <c r="I445" s="77"/>
      <c r="J445" s="78">
        <v>50</v>
      </c>
      <c r="K445" s="78">
        <v>50</v>
      </c>
      <c r="L445" s="78"/>
      <c r="M445" s="78">
        <v>25</v>
      </c>
      <c r="N445" s="78">
        <v>55</v>
      </c>
      <c r="O445" s="78"/>
      <c r="P445" s="108"/>
      <c r="Q445" s="108"/>
      <c r="R445" s="108"/>
      <c r="S445" s="108"/>
      <c r="T445" s="108"/>
      <c r="U445" s="109"/>
      <c r="V445" s="2">
        <f t="shared" si="401"/>
        <v>215</v>
      </c>
      <c r="W445" s="10"/>
      <c r="X445" s="11">
        <f t="shared" si="402"/>
        <v>-109</v>
      </c>
      <c r="Y445" s="10"/>
      <c r="Z445" s="12">
        <f t="shared" si="411"/>
        <v>142</v>
      </c>
      <c r="AA445" s="12">
        <f t="shared" si="412"/>
        <v>112</v>
      </c>
      <c r="AB445" s="2">
        <f t="shared" si="403"/>
        <v>254</v>
      </c>
      <c r="AC445" s="2">
        <f t="shared" si="404"/>
        <v>363</v>
      </c>
      <c r="AE445" s="9" t="s">
        <v>22</v>
      </c>
      <c r="AF445" s="2">
        <v>49</v>
      </c>
      <c r="AG445" s="99">
        <f>ROUND(Load!$O$43+'2022'!$E$467*0.485/744,0)</f>
        <v>57</v>
      </c>
      <c r="AH445" s="2">
        <f t="shared" si="405"/>
        <v>106</v>
      </c>
      <c r="AI445" s="9" t="s">
        <v>22</v>
      </c>
      <c r="AJ445" s="2"/>
      <c r="AK445" s="2">
        <v>35</v>
      </c>
      <c r="AL445" s="2"/>
      <c r="AM445" s="77"/>
      <c r="AN445" s="78">
        <v>50</v>
      </c>
      <c r="AO445" s="78">
        <v>50</v>
      </c>
      <c r="AP445" s="78">
        <v>25</v>
      </c>
      <c r="AQ445" s="78">
        <v>55</v>
      </c>
      <c r="AR445" s="78"/>
      <c r="AS445" s="78"/>
      <c r="AT445" s="108"/>
      <c r="AU445" s="108"/>
      <c r="AV445" s="108"/>
      <c r="AW445" s="108"/>
      <c r="AX445" s="108"/>
      <c r="AY445" s="109"/>
      <c r="AZ445" s="2">
        <f t="shared" si="406"/>
        <v>215</v>
      </c>
      <c r="BA445" s="10"/>
      <c r="BB445" s="11">
        <f t="shared" si="407"/>
        <v>-109</v>
      </c>
      <c r="BC445" s="10"/>
      <c r="BD445" s="12">
        <f t="shared" si="408"/>
        <v>142</v>
      </c>
      <c r="BE445" s="12">
        <f t="shared" si="413"/>
        <v>112</v>
      </c>
      <c r="BF445" s="2">
        <f t="shared" si="409"/>
        <v>254</v>
      </c>
      <c r="BG445" s="2">
        <f t="shared" si="410"/>
        <v>363</v>
      </c>
    </row>
    <row r="446" spans="1:59" x14ac:dyDescent="0.3">
      <c r="A446" s="9" t="s">
        <v>23</v>
      </c>
      <c r="B446" s="314">
        <v>49</v>
      </c>
      <c r="C446" s="99">
        <f>ROUND(Load!$O$43+'2022'!$E$467*0.485/744,0)</f>
        <v>57</v>
      </c>
      <c r="D446" s="2">
        <f t="shared" si="400"/>
        <v>106</v>
      </c>
      <c r="E446" s="9" t="s">
        <v>23</v>
      </c>
      <c r="F446" s="2"/>
      <c r="G446" s="2">
        <v>35</v>
      </c>
      <c r="H446" s="2"/>
      <c r="I446" s="77"/>
      <c r="J446" s="78">
        <v>50</v>
      </c>
      <c r="K446" s="78">
        <v>50</v>
      </c>
      <c r="L446" s="78"/>
      <c r="M446" s="78">
        <v>25</v>
      </c>
      <c r="N446" s="78">
        <v>55</v>
      </c>
      <c r="O446" s="78"/>
      <c r="P446" s="108"/>
      <c r="Q446" s="108"/>
      <c r="R446" s="108"/>
      <c r="S446" s="108"/>
      <c r="T446" s="108"/>
      <c r="U446" s="109"/>
      <c r="V446" s="2">
        <f t="shared" si="401"/>
        <v>215</v>
      </c>
      <c r="W446" s="10"/>
      <c r="X446" s="11">
        <f t="shared" si="402"/>
        <v>-109</v>
      </c>
      <c r="Y446" s="10"/>
      <c r="Z446" s="12">
        <f>142-F446-H446</f>
        <v>142</v>
      </c>
      <c r="AA446" s="12">
        <f t="shared" si="412"/>
        <v>112</v>
      </c>
      <c r="AB446" s="2">
        <f t="shared" si="403"/>
        <v>254</v>
      </c>
      <c r="AC446" s="2">
        <f t="shared" si="404"/>
        <v>363</v>
      </c>
      <c r="AE446" s="9" t="s">
        <v>23</v>
      </c>
      <c r="AF446" s="2">
        <v>49</v>
      </c>
      <c r="AG446" s="99">
        <f>ROUND(Load!$O$43+'2022'!$E$467*0.485/744,0)</f>
        <v>57</v>
      </c>
      <c r="AH446" s="2">
        <f t="shared" si="405"/>
        <v>106</v>
      </c>
      <c r="AI446" s="9" t="s">
        <v>23</v>
      </c>
      <c r="AJ446" s="2"/>
      <c r="AK446" s="2">
        <v>35</v>
      </c>
      <c r="AL446" s="2"/>
      <c r="AM446" s="77"/>
      <c r="AN446" s="78">
        <v>50</v>
      </c>
      <c r="AO446" s="78">
        <v>50</v>
      </c>
      <c r="AP446" s="78">
        <v>25</v>
      </c>
      <c r="AQ446" s="78">
        <v>55</v>
      </c>
      <c r="AR446" s="78"/>
      <c r="AS446" s="78"/>
      <c r="AT446" s="108"/>
      <c r="AU446" s="108"/>
      <c r="AV446" s="108"/>
      <c r="AW446" s="108"/>
      <c r="AX446" s="108"/>
      <c r="AY446" s="109"/>
      <c r="AZ446" s="2">
        <f t="shared" si="406"/>
        <v>215</v>
      </c>
      <c r="BA446" s="10"/>
      <c r="BB446" s="11">
        <f t="shared" si="407"/>
        <v>-109</v>
      </c>
      <c r="BC446" s="10"/>
      <c r="BD446" s="12">
        <f>142-AJ446-AL446</f>
        <v>142</v>
      </c>
      <c r="BE446" s="12">
        <f t="shared" si="413"/>
        <v>112</v>
      </c>
      <c r="BF446" s="2">
        <f t="shared" si="409"/>
        <v>254</v>
      </c>
      <c r="BG446" s="2">
        <f t="shared" si="410"/>
        <v>363</v>
      </c>
    </row>
    <row r="447" spans="1:59" x14ac:dyDescent="0.3">
      <c r="A447" s="9" t="s">
        <v>24</v>
      </c>
      <c r="B447" s="314">
        <v>49</v>
      </c>
      <c r="C447" s="99">
        <f>ROUND(Load!$O$43+'2022'!$E$467*0.485/744,0)</f>
        <v>57</v>
      </c>
      <c r="D447" s="2">
        <f t="shared" si="400"/>
        <v>106</v>
      </c>
      <c r="E447" s="9" t="s">
        <v>24</v>
      </c>
      <c r="F447" s="2"/>
      <c r="G447" s="2">
        <v>35</v>
      </c>
      <c r="H447" s="2"/>
      <c r="I447" s="77"/>
      <c r="J447" s="78">
        <v>50</v>
      </c>
      <c r="K447" s="78">
        <v>50</v>
      </c>
      <c r="L447" s="78"/>
      <c r="M447" s="78">
        <v>25</v>
      </c>
      <c r="N447" s="78">
        <v>55</v>
      </c>
      <c r="O447" s="78"/>
      <c r="P447" s="108"/>
      <c r="Q447" s="108"/>
      <c r="R447" s="108"/>
      <c r="S447" s="108"/>
      <c r="T447" s="108"/>
      <c r="U447" s="109"/>
      <c r="V447" s="2">
        <f t="shared" si="401"/>
        <v>215</v>
      </c>
      <c r="W447" s="10"/>
      <c r="X447" s="11">
        <f t="shared" si="402"/>
        <v>-109</v>
      </c>
      <c r="Y447" s="10"/>
      <c r="Z447" s="12">
        <f t="shared" si="411"/>
        <v>142</v>
      </c>
      <c r="AA447" s="12">
        <f t="shared" si="412"/>
        <v>112</v>
      </c>
      <c r="AB447" s="2">
        <f t="shared" si="403"/>
        <v>254</v>
      </c>
      <c r="AC447" s="2">
        <f t="shared" si="404"/>
        <v>363</v>
      </c>
      <c r="AE447" s="9" t="s">
        <v>24</v>
      </c>
      <c r="AF447" s="2">
        <v>49</v>
      </c>
      <c r="AG447" s="99">
        <f>ROUND(Load!$O$43+'2022'!$E$467*0.485/744,0)</f>
        <v>57</v>
      </c>
      <c r="AH447" s="2">
        <f t="shared" si="405"/>
        <v>106</v>
      </c>
      <c r="AI447" s="9" t="s">
        <v>24</v>
      </c>
      <c r="AJ447" s="2"/>
      <c r="AK447" s="2">
        <v>35</v>
      </c>
      <c r="AL447" s="2"/>
      <c r="AM447" s="77"/>
      <c r="AN447" s="78">
        <v>50</v>
      </c>
      <c r="AO447" s="78">
        <v>50</v>
      </c>
      <c r="AP447" s="78">
        <v>25</v>
      </c>
      <c r="AQ447" s="78">
        <v>55</v>
      </c>
      <c r="AR447" s="78"/>
      <c r="AS447" s="78"/>
      <c r="AT447" s="108"/>
      <c r="AU447" s="108"/>
      <c r="AV447" s="108"/>
      <c r="AW447" s="108"/>
      <c r="AX447" s="108"/>
      <c r="AY447" s="109"/>
      <c r="AZ447" s="2">
        <f t="shared" si="406"/>
        <v>215</v>
      </c>
      <c r="BA447" s="10"/>
      <c r="BB447" s="11">
        <f t="shared" si="407"/>
        <v>-109</v>
      </c>
      <c r="BC447" s="10"/>
      <c r="BD447" s="12">
        <f t="shared" si="408"/>
        <v>142</v>
      </c>
      <c r="BE447" s="12">
        <f t="shared" si="413"/>
        <v>112</v>
      </c>
      <c r="BF447" s="2">
        <f t="shared" si="409"/>
        <v>254</v>
      </c>
      <c r="BG447" s="2">
        <f t="shared" si="410"/>
        <v>363</v>
      </c>
    </row>
    <row r="448" spans="1:59" x14ac:dyDescent="0.3">
      <c r="A448" s="9" t="s">
        <v>25</v>
      </c>
      <c r="B448" s="314"/>
      <c r="C448" s="99">
        <f>ROUND(Load!$O$43+'2022'!$E$467*0.485/744,0)</f>
        <v>57</v>
      </c>
      <c r="D448" s="2">
        <f t="shared" si="400"/>
        <v>57</v>
      </c>
      <c r="E448" s="9" t="s">
        <v>25</v>
      </c>
      <c r="F448" s="2">
        <f>'Hoover with 30 MW Solar'!$M$39</f>
        <v>25</v>
      </c>
      <c r="G448" s="2">
        <v>35</v>
      </c>
      <c r="H448" s="2">
        <v>15</v>
      </c>
      <c r="I448" s="77">
        <v>50</v>
      </c>
      <c r="J448" s="78"/>
      <c r="K448" s="78"/>
      <c r="L448" s="78">
        <v>50</v>
      </c>
      <c r="M448" s="78">
        <v>25</v>
      </c>
      <c r="N448" s="78"/>
      <c r="O448" s="78"/>
      <c r="P448" s="108"/>
      <c r="Q448" s="108"/>
      <c r="R448" s="108"/>
      <c r="S448" s="108"/>
      <c r="T448" s="108"/>
      <c r="U448" s="109">
        <v>-12</v>
      </c>
      <c r="V448" s="2">
        <f t="shared" si="401"/>
        <v>188</v>
      </c>
      <c r="W448" s="10"/>
      <c r="X448" s="13">
        <f t="shared" si="402"/>
        <v>-131</v>
      </c>
      <c r="Y448" s="10"/>
      <c r="Z448" s="14">
        <f t="shared" si="411"/>
        <v>102</v>
      </c>
      <c r="AA448" s="14">
        <f>217-J448-K448-L448-M448-N448</f>
        <v>142</v>
      </c>
      <c r="AB448" s="2">
        <f t="shared" si="403"/>
        <v>244</v>
      </c>
      <c r="AC448" s="2">
        <f t="shared" si="404"/>
        <v>375</v>
      </c>
      <c r="AE448" s="9" t="s">
        <v>25</v>
      </c>
      <c r="AF448" s="2"/>
      <c r="AG448" s="99">
        <f>ROUND(Load!$O$43+'2022'!$E$467*0.485/744,0)</f>
        <v>57</v>
      </c>
      <c r="AH448" s="2">
        <f t="shared" si="405"/>
        <v>57</v>
      </c>
      <c r="AI448" s="9" t="s">
        <v>25</v>
      </c>
      <c r="AJ448" s="2">
        <f>'Hoover with 30 MW Solar'!$M$39</f>
        <v>25</v>
      </c>
      <c r="AK448" s="2">
        <v>35</v>
      </c>
      <c r="AL448" s="2">
        <v>15</v>
      </c>
      <c r="AM448" s="77">
        <v>50</v>
      </c>
      <c r="AN448" s="78">
        <v>50</v>
      </c>
      <c r="AO448" s="78">
        <v>50</v>
      </c>
      <c r="AP448" s="78">
        <v>25</v>
      </c>
      <c r="AQ448" s="78">
        <v>55</v>
      </c>
      <c r="AR448" s="78"/>
      <c r="AS448" s="78"/>
      <c r="AT448" s="108"/>
      <c r="AU448" s="108"/>
      <c r="AV448" s="108"/>
      <c r="AW448" s="108"/>
      <c r="AX448" s="108"/>
      <c r="AY448" s="109">
        <v>-12</v>
      </c>
      <c r="AZ448" s="2">
        <f t="shared" si="406"/>
        <v>293</v>
      </c>
      <c r="BA448" s="10"/>
      <c r="BB448" s="13">
        <f t="shared" si="407"/>
        <v>-236</v>
      </c>
      <c r="BC448" s="10"/>
      <c r="BD448" s="14">
        <f t="shared" si="408"/>
        <v>102</v>
      </c>
      <c r="BE448" s="14">
        <f t="shared" si="413"/>
        <v>112</v>
      </c>
      <c r="BF448" s="2">
        <f t="shared" si="409"/>
        <v>214</v>
      </c>
      <c r="BG448" s="2">
        <f t="shared" si="410"/>
        <v>450</v>
      </c>
    </row>
    <row r="449" spans="1:59" x14ac:dyDescent="0.3">
      <c r="A449" s="9" t="s">
        <v>26</v>
      </c>
      <c r="B449" s="314"/>
      <c r="C449" s="99">
        <f>ROUND(Load!$O$43+'2022'!$E$467*0.485/744,0)</f>
        <v>57</v>
      </c>
      <c r="D449" s="2">
        <f t="shared" si="400"/>
        <v>57</v>
      </c>
      <c r="E449" s="9" t="s">
        <v>26</v>
      </c>
      <c r="F449" s="2">
        <f>'Hoover with 30 MW Solar'!$M$39</f>
        <v>25</v>
      </c>
      <c r="G449" s="2">
        <v>35</v>
      </c>
      <c r="H449" s="2">
        <v>15</v>
      </c>
      <c r="I449" s="77">
        <v>50</v>
      </c>
      <c r="J449" s="78"/>
      <c r="K449" s="78"/>
      <c r="L449" s="78">
        <v>50</v>
      </c>
      <c r="M449" s="78">
        <v>25</v>
      </c>
      <c r="N449" s="78"/>
      <c r="O449" s="78"/>
      <c r="P449" s="108"/>
      <c r="Q449" s="108"/>
      <c r="R449" s="108"/>
      <c r="S449" s="108"/>
      <c r="T449" s="108"/>
      <c r="U449" s="109">
        <v>-12</v>
      </c>
      <c r="V449" s="2">
        <f t="shared" si="401"/>
        <v>188</v>
      </c>
      <c r="W449" s="10"/>
      <c r="X449" s="13">
        <f t="shared" si="402"/>
        <v>-131</v>
      </c>
      <c r="Y449" s="10"/>
      <c r="Z449" s="14">
        <f t="shared" si="411"/>
        <v>102</v>
      </c>
      <c r="AA449" s="14">
        <f t="shared" ref="AA449:AA463" si="414">217-J449-K449-L449-M449-N449</f>
        <v>142</v>
      </c>
      <c r="AB449" s="2">
        <f t="shared" si="403"/>
        <v>244</v>
      </c>
      <c r="AC449" s="2">
        <f t="shared" si="404"/>
        <v>375</v>
      </c>
      <c r="AE449" s="9" t="s">
        <v>26</v>
      </c>
      <c r="AF449" s="2"/>
      <c r="AG449" s="99">
        <f>ROUND(Load!$O$43+'2022'!$E$467*0.485/744,0)</f>
        <v>57</v>
      </c>
      <c r="AH449" s="2">
        <f t="shared" si="405"/>
        <v>57</v>
      </c>
      <c r="AI449" s="9" t="s">
        <v>26</v>
      </c>
      <c r="AJ449" s="2">
        <f>'Hoover with 30 MW Solar'!$M$39</f>
        <v>25</v>
      </c>
      <c r="AK449" s="2">
        <v>35</v>
      </c>
      <c r="AL449" s="2">
        <v>15</v>
      </c>
      <c r="AM449" s="77">
        <v>50</v>
      </c>
      <c r="AN449" s="78">
        <v>50</v>
      </c>
      <c r="AO449" s="78">
        <v>50</v>
      </c>
      <c r="AP449" s="78">
        <v>25</v>
      </c>
      <c r="AQ449" s="78">
        <v>55</v>
      </c>
      <c r="AR449" s="78"/>
      <c r="AS449" s="78"/>
      <c r="AT449" s="108"/>
      <c r="AU449" s="108"/>
      <c r="AV449" s="108"/>
      <c r="AW449" s="108"/>
      <c r="AX449" s="108"/>
      <c r="AY449" s="109">
        <v>-12</v>
      </c>
      <c r="AZ449" s="2">
        <f t="shared" si="406"/>
        <v>293</v>
      </c>
      <c r="BA449" s="10"/>
      <c r="BB449" s="13">
        <f t="shared" si="407"/>
        <v>-236</v>
      </c>
      <c r="BC449" s="10"/>
      <c r="BD449" s="14">
        <f t="shared" si="408"/>
        <v>102</v>
      </c>
      <c r="BE449" s="14">
        <f t="shared" si="413"/>
        <v>112</v>
      </c>
      <c r="BF449" s="2">
        <f t="shared" si="409"/>
        <v>214</v>
      </c>
      <c r="BG449" s="2">
        <f t="shared" si="410"/>
        <v>450</v>
      </c>
    </row>
    <row r="450" spans="1:59" x14ac:dyDescent="0.3">
      <c r="A450" s="9" t="s">
        <v>27</v>
      </c>
      <c r="B450" s="314"/>
      <c r="C450" s="99">
        <f>ROUND(Load!$O$43+'2022'!$E$467*0.485/744,0)</f>
        <v>57</v>
      </c>
      <c r="D450" s="2">
        <f t="shared" si="400"/>
        <v>57</v>
      </c>
      <c r="E450" s="9" t="s">
        <v>27</v>
      </c>
      <c r="F450" s="2">
        <f>'Hoover with 30 MW Solar'!$M$39</f>
        <v>25</v>
      </c>
      <c r="G450" s="2">
        <v>35</v>
      </c>
      <c r="H450" s="2"/>
      <c r="I450" s="77">
        <v>50</v>
      </c>
      <c r="J450" s="78"/>
      <c r="K450" s="78"/>
      <c r="L450" s="78">
        <v>50</v>
      </c>
      <c r="M450" s="78">
        <v>25</v>
      </c>
      <c r="N450" s="78"/>
      <c r="O450" s="78"/>
      <c r="P450" s="108"/>
      <c r="Q450" s="108"/>
      <c r="R450" s="108"/>
      <c r="S450" s="108"/>
      <c r="T450" s="108"/>
      <c r="U450" s="109">
        <v>-12</v>
      </c>
      <c r="V450" s="2">
        <f t="shared" si="401"/>
        <v>173</v>
      </c>
      <c r="W450" s="10"/>
      <c r="X450" s="13">
        <f t="shared" si="402"/>
        <v>-116</v>
      </c>
      <c r="Y450" s="10"/>
      <c r="Z450" s="14">
        <f t="shared" si="411"/>
        <v>117</v>
      </c>
      <c r="AA450" s="14">
        <f t="shared" si="414"/>
        <v>142</v>
      </c>
      <c r="AB450" s="2">
        <f t="shared" si="403"/>
        <v>259</v>
      </c>
      <c r="AC450" s="2">
        <f t="shared" si="404"/>
        <v>375</v>
      </c>
      <c r="AE450" s="9" t="s">
        <v>27</v>
      </c>
      <c r="AF450" s="2"/>
      <c r="AG450" s="99">
        <f>ROUND(Load!$O$43+'2022'!$E$467*0.485/744,0)</f>
        <v>57</v>
      </c>
      <c r="AH450" s="2">
        <f t="shared" si="405"/>
        <v>57</v>
      </c>
      <c r="AI450" s="9" t="s">
        <v>27</v>
      </c>
      <c r="AJ450" s="2">
        <f>'Hoover with 30 MW Solar'!$M$39</f>
        <v>25</v>
      </c>
      <c r="AK450" s="2">
        <v>35</v>
      </c>
      <c r="AL450" s="2"/>
      <c r="AM450" s="77">
        <v>50</v>
      </c>
      <c r="AN450" s="78">
        <v>50</v>
      </c>
      <c r="AO450" s="78">
        <v>50</v>
      </c>
      <c r="AP450" s="78">
        <v>25</v>
      </c>
      <c r="AQ450" s="78">
        <v>55</v>
      </c>
      <c r="AR450" s="78"/>
      <c r="AS450" s="78"/>
      <c r="AT450" s="108"/>
      <c r="AU450" s="108"/>
      <c r="AV450" s="108"/>
      <c r="AW450" s="108"/>
      <c r="AX450" s="108"/>
      <c r="AY450" s="109">
        <v>-12</v>
      </c>
      <c r="AZ450" s="2">
        <f t="shared" si="406"/>
        <v>278</v>
      </c>
      <c r="BA450" s="10"/>
      <c r="BB450" s="13">
        <f t="shared" si="407"/>
        <v>-221</v>
      </c>
      <c r="BC450" s="10"/>
      <c r="BD450" s="14">
        <f t="shared" si="408"/>
        <v>117</v>
      </c>
      <c r="BE450" s="14">
        <f t="shared" si="413"/>
        <v>112</v>
      </c>
      <c r="BF450" s="2">
        <f t="shared" si="409"/>
        <v>229</v>
      </c>
      <c r="BG450" s="2">
        <f t="shared" si="410"/>
        <v>450</v>
      </c>
    </row>
    <row r="451" spans="1:59" x14ac:dyDescent="0.3">
      <c r="A451" s="9" t="s">
        <v>28</v>
      </c>
      <c r="B451" s="314">
        <v>289</v>
      </c>
      <c r="C451" s="99">
        <f>ROUND(Load!$O$43+'2022'!$E$467*0.485/744,0)</f>
        <v>57</v>
      </c>
      <c r="D451" s="2">
        <f t="shared" si="400"/>
        <v>346</v>
      </c>
      <c r="E451" s="9" t="s">
        <v>28</v>
      </c>
      <c r="F451" s="2">
        <f>'Hoover with 30 MW Solar'!$M$39</f>
        <v>25</v>
      </c>
      <c r="G451" s="2">
        <v>35</v>
      </c>
      <c r="H451" s="2"/>
      <c r="I451" s="77">
        <v>50</v>
      </c>
      <c r="J451" s="78"/>
      <c r="K451" s="78"/>
      <c r="L451" s="78">
        <v>50</v>
      </c>
      <c r="M451" s="78">
        <v>25</v>
      </c>
      <c r="N451" s="78"/>
      <c r="O451" s="78"/>
      <c r="P451" s="108"/>
      <c r="Q451" s="108"/>
      <c r="R451" s="108"/>
      <c r="S451" s="108"/>
      <c r="T451" s="108"/>
      <c r="U451" s="109">
        <v>-12</v>
      </c>
      <c r="V451" s="2">
        <f t="shared" si="401"/>
        <v>173</v>
      </c>
      <c r="W451" s="10"/>
      <c r="X451" s="13">
        <f t="shared" si="402"/>
        <v>173</v>
      </c>
      <c r="Y451" s="10"/>
      <c r="Z451" s="14">
        <f t="shared" si="411"/>
        <v>117</v>
      </c>
      <c r="AA451" s="14">
        <f t="shared" si="414"/>
        <v>142</v>
      </c>
      <c r="AB451" s="2">
        <f t="shared" si="403"/>
        <v>259</v>
      </c>
      <c r="AC451" s="2">
        <f t="shared" si="404"/>
        <v>86</v>
      </c>
      <c r="AE451" s="9" t="s">
        <v>28</v>
      </c>
      <c r="AF451" s="2">
        <v>289</v>
      </c>
      <c r="AG451" s="99">
        <f>ROUND(Load!$O$43+'2022'!$E$467*0.485/744,0)</f>
        <v>57</v>
      </c>
      <c r="AH451" s="2">
        <f t="shared" si="405"/>
        <v>346</v>
      </c>
      <c r="AI451" s="9" t="s">
        <v>28</v>
      </c>
      <c r="AJ451" s="2">
        <f>'Hoover with 30 MW Solar'!$M$39</f>
        <v>25</v>
      </c>
      <c r="AK451" s="2">
        <v>35</v>
      </c>
      <c r="AL451" s="2"/>
      <c r="AM451" s="77">
        <v>50</v>
      </c>
      <c r="AN451" s="78">
        <v>50</v>
      </c>
      <c r="AO451" s="78">
        <v>50</v>
      </c>
      <c r="AP451" s="78">
        <v>25</v>
      </c>
      <c r="AQ451" s="78">
        <v>55</v>
      </c>
      <c r="AR451" s="78"/>
      <c r="AS451" s="78"/>
      <c r="AT451" s="108"/>
      <c r="AU451" s="108"/>
      <c r="AV451" s="108"/>
      <c r="AW451" s="108"/>
      <c r="AX451" s="108"/>
      <c r="AY451" s="109">
        <v>-12</v>
      </c>
      <c r="AZ451" s="2">
        <f t="shared" si="406"/>
        <v>278</v>
      </c>
      <c r="BA451" s="10"/>
      <c r="BB451" s="13">
        <f t="shared" si="407"/>
        <v>68</v>
      </c>
      <c r="BC451" s="10"/>
      <c r="BD451" s="14">
        <f t="shared" si="408"/>
        <v>117</v>
      </c>
      <c r="BE451" s="14">
        <f t="shared" si="413"/>
        <v>112</v>
      </c>
      <c r="BF451" s="2">
        <f t="shared" si="409"/>
        <v>229</v>
      </c>
      <c r="BG451" s="2">
        <f t="shared" si="410"/>
        <v>161</v>
      </c>
    </row>
    <row r="452" spans="1:59" x14ac:dyDescent="0.3">
      <c r="A452" s="9" t="s">
        <v>29</v>
      </c>
      <c r="B452" s="314">
        <v>289</v>
      </c>
      <c r="C452" s="99">
        <f>ROUND(Load!$O$43+'2022'!$E$467*0.485/744,0)</f>
        <v>57</v>
      </c>
      <c r="D452" s="2">
        <f t="shared" si="400"/>
        <v>346</v>
      </c>
      <c r="E452" s="9" t="s">
        <v>29</v>
      </c>
      <c r="F452" s="2">
        <f>'Hoover with 30 MW Solar'!$M$39</f>
        <v>25</v>
      </c>
      <c r="G452" s="2">
        <v>35</v>
      </c>
      <c r="H452" s="2"/>
      <c r="I452" s="77">
        <v>50</v>
      </c>
      <c r="J452" s="78"/>
      <c r="K452" s="78"/>
      <c r="L452" s="78">
        <v>50</v>
      </c>
      <c r="M452" s="78">
        <v>25</v>
      </c>
      <c r="N452" s="78"/>
      <c r="O452" s="78"/>
      <c r="P452" s="108"/>
      <c r="Q452" s="108"/>
      <c r="R452" s="108"/>
      <c r="S452" s="108"/>
      <c r="T452" s="108"/>
      <c r="U452" s="109">
        <v>-12</v>
      </c>
      <c r="V452" s="2">
        <f t="shared" si="401"/>
        <v>173</v>
      </c>
      <c r="W452" s="10"/>
      <c r="X452" s="13">
        <f t="shared" si="402"/>
        <v>173</v>
      </c>
      <c r="Y452" s="10"/>
      <c r="Z452" s="14">
        <f t="shared" si="411"/>
        <v>117</v>
      </c>
      <c r="AA452" s="14">
        <f t="shared" si="414"/>
        <v>142</v>
      </c>
      <c r="AB452" s="2">
        <f t="shared" si="403"/>
        <v>259</v>
      </c>
      <c r="AC452" s="2">
        <f t="shared" si="404"/>
        <v>86</v>
      </c>
      <c r="AE452" s="9" t="s">
        <v>29</v>
      </c>
      <c r="AF452" s="2">
        <v>289</v>
      </c>
      <c r="AG452" s="99">
        <f>ROUND(Load!$O$43+'2022'!$E$467*0.485/744,0)</f>
        <v>57</v>
      </c>
      <c r="AH452" s="2">
        <f t="shared" si="405"/>
        <v>346</v>
      </c>
      <c r="AI452" s="9" t="s">
        <v>29</v>
      </c>
      <c r="AJ452" s="2">
        <f>'Hoover with 30 MW Solar'!$M$39</f>
        <v>25</v>
      </c>
      <c r="AK452" s="2">
        <v>35</v>
      </c>
      <c r="AL452" s="2"/>
      <c r="AM452" s="77">
        <v>50</v>
      </c>
      <c r="AN452" s="78">
        <v>50</v>
      </c>
      <c r="AO452" s="78">
        <v>50</v>
      </c>
      <c r="AP452" s="78">
        <v>25</v>
      </c>
      <c r="AQ452" s="78">
        <v>55</v>
      </c>
      <c r="AR452" s="78"/>
      <c r="AS452" s="78"/>
      <c r="AT452" s="108"/>
      <c r="AU452" s="108"/>
      <c r="AV452" s="108"/>
      <c r="AW452" s="108"/>
      <c r="AX452" s="108"/>
      <c r="AY452" s="109">
        <v>-12</v>
      </c>
      <c r="AZ452" s="2">
        <f t="shared" si="406"/>
        <v>278</v>
      </c>
      <c r="BA452" s="10"/>
      <c r="BB452" s="13">
        <f t="shared" si="407"/>
        <v>68</v>
      </c>
      <c r="BC452" s="10"/>
      <c r="BD452" s="14">
        <f t="shared" si="408"/>
        <v>117</v>
      </c>
      <c r="BE452" s="14">
        <f t="shared" si="413"/>
        <v>112</v>
      </c>
      <c r="BF452" s="2">
        <f t="shared" si="409"/>
        <v>229</v>
      </c>
      <c r="BG452" s="2">
        <f t="shared" si="410"/>
        <v>161</v>
      </c>
    </row>
    <row r="453" spans="1:59" x14ac:dyDescent="0.3">
      <c r="A453" s="9" t="s">
        <v>30</v>
      </c>
      <c r="B453" s="314">
        <v>289</v>
      </c>
      <c r="C453" s="99">
        <f>ROUND(Load!$O$43+'2022'!$E$467*0.485/744,0)</f>
        <v>57</v>
      </c>
      <c r="D453" s="2">
        <f t="shared" si="400"/>
        <v>346</v>
      </c>
      <c r="E453" s="9" t="s">
        <v>30</v>
      </c>
      <c r="F453" s="2">
        <f>'Hoover with 30 MW Solar'!$M$39</f>
        <v>25</v>
      </c>
      <c r="G453" s="2">
        <v>35</v>
      </c>
      <c r="H453" s="2"/>
      <c r="I453" s="77">
        <v>50</v>
      </c>
      <c r="J453" s="78"/>
      <c r="K453" s="78"/>
      <c r="L453" s="78">
        <v>50</v>
      </c>
      <c r="M453" s="78">
        <v>25</v>
      </c>
      <c r="N453" s="78"/>
      <c r="O453" s="78"/>
      <c r="P453" s="108"/>
      <c r="Q453" s="108"/>
      <c r="R453" s="108"/>
      <c r="S453" s="108"/>
      <c r="T453" s="108"/>
      <c r="U453" s="109">
        <v>-12</v>
      </c>
      <c r="V453" s="2">
        <f t="shared" si="401"/>
        <v>173</v>
      </c>
      <c r="W453" s="10"/>
      <c r="X453" s="13">
        <f t="shared" si="402"/>
        <v>173</v>
      </c>
      <c r="Y453" s="10"/>
      <c r="Z453" s="14">
        <f t="shared" si="411"/>
        <v>117</v>
      </c>
      <c r="AA453" s="14">
        <f t="shared" si="414"/>
        <v>142</v>
      </c>
      <c r="AB453" s="2">
        <f t="shared" si="403"/>
        <v>259</v>
      </c>
      <c r="AC453" s="2">
        <f t="shared" si="404"/>
        <v>86</v>
      </c>
      <c r="AE453" s="9" t="s">
        <v>30</v>
      </c>
      <c r="AF453" s="2">
        <v>289</v>
      </c>
      <c r="AG453" s="99">
        <f>ROUND(Load!$O$43+'2022'!$E$467*0.485/744,0)</f>
        <v>57</v>
      </c>
      <c r="AH453" s="2">
        <f t="shared" si="405"/>
        <v>346</v>
      </c>
      <c r="AI453" s="9" t="s">
        <v>30</v>
      </c>
      <c r="AJ453" s="2">
        <f>'Hoover with 30 MW Solar'!$M$39</f>
        <v>25</v>
      </c>
      <c r="AK453" s="2">
        <v>35</v>
      </c>
      <c r="AL453" s="2"/>
      <c r="AM453" s="77">
        <v>50</v>
      </c>
      <c r="AN453" s="78">
        <v>50</v>
      </c>
      <c r="AO453" s="78">
        <v>50</v>
      </c>
      <c r="AP453" s="78">
        <v>25</v>
      </c>
      <c r="AQ453" s="78">
        <v>55</v>
      </c>
      <c r="AR453" s="78"/>
      <c r="AS453" s="78"/>
      <c r="AT453" s="108"/>
      <c r="AU453" s="108"/>
      <c r="AV453" s="108"/>
      <c r="AW453" s="108"/>
      <c r="AX453" s="108"/>
      <c r="AY453" s="109">
        <v>-12</v>
      </c>
      <c r="AZ453" s="2">
        <f t="shared" si="406"/>
        <v>278</v>
      </c>
      <c r="BA453" s="10"/>
      <c r="BB453" s="13">
        <f t="shared" si="407"/>
        <v>68</v>
      </c>
      <c r="BC453" s="10"/>
      <c r="BD453" s="14">
        <f t="shared" si="408"/>
        <v>117</v>
      </c>
      <c r="BE453" s="14">
        <f t="shared" si="413"/>
        <v>112</v>
      </c>
      <c r="BF453" s="2">
        <f t="shared" si="409"/>
        <v>229</v>
      </c>
      <c r="BG453" s="2">
        <f t="shared" si="410"/>
        <v>161</v>
      </c>
    </row>
    <row r="454" spans="1:59" x14ac:dyDescent="0.3">
      <c r="A454" s="9" t="s">
        <v>31</v>
      </c>
      <c r="B454" s="314">
        <v>289</v>
      </c>
      <c r="C454" s="99">
        <f>ROUND(Load!$O$43+'2022'!$E$467*0.485/744,0)</f>
        <v>57</v>
      </c>
      <c r="D454" s="2">
        <f t="shared" si="400"/>
        <v>346</v>
      </c>
      <c r="E454" s="9" t="s">
        <v>31</v>
      </c>
      <c r="F454" s="2">
        <f>'Hoover with 30 MW Solar'!$M$39</f>
        <v>25</v>
      </c>
      <c r="G454" s="2">
        <v>35</v>
      </c>
      <c r="H454" s="2"/>
      <c r="I454" s="77">
        <v>50</v>
      </c>
      <c r="J454" s="78"/>
      <c r="K454" s="78"/>
      <c r="L454" s="78">
        <v>50</v>
      </c>
      <c r="M454" s="78">
        <v>25</v>
      </c>
      <c r="N454" s="78"/>
      <c r="O454" s="78"/>
      <c r="P454" s="108"/>
      <c r="Q454" s="108"/>
      <c r="R454" s="108"/>
      <c r="S454" s="108"/>
      <c r="T454" s="108"/>
      <c r="U454" s="109">
        <v>-12</v>
      </c>
      <c r="V454" s="2">
        <f t="shared" si="401"/>
        <v>173</v>
      </c>
      <c r="W454" s="10"/>
      <c r="X454" s="13">
        <f t="shared" si="402"/>
        <v>173</v>
      </c>
      <c r="Y454" s="10"/>
      <c r="Z454" s="14">
        <f t="shared" si="411"/>
        <v>117</v>
      </c>
      <c r="AA454" s="14">
        <f t="shared" si="414"/>
        <v>142</v>
      </c>
      <c r="AB454" s="2">
        <f t="shared" si="403"/>
        <v>259</v>
      </c>
      <c r="AC454" s="2">
        <f t="shared" si="404"/>
        <v>86</v>
      </c>
      <c r="AE454" s="9" t="s">
        <v>31</v>
      </c>
      <c r="AF454" s="2">
        <v>289</v>
      </c>
      <c r="AG454" s="99">
        <f>ROUND(Load!$O$43+'2022'!$E$467*0.485/744,0)</f>
        <v>57</v>
      </c>
      <c r="AH454" s="2">
        <f t="shared" si="405"/>
        <v>346</v>
      </c>
      <c r="AI454" s="9" t="s">
        <v>31</v>
      </c>
      <c r="AJ454" s="2">
        <f>'Hoover with 30 MW Solar'!$M$39</f>
        <v>25</v>
      </c>
      <c r="AK454" s="2">
        <v>35</v>
      </c>
      <c r="AL454" s="2"/>
      <c r="AM454" s="77">
        <v>50</v>
      </c>
      <c r="AN454" s="78">
        <v>50</v>
      </c>
      <c r="AO454" s="78">
        <v>50</v>
      </c>
      <c r="AP454" s="78">
        <v>25</v>
      </c>
      <c r="AQ454" s="78">
        <v>55</v>
      </c>
      <c r="AR454" s="78"/>
      <c r="AS454" s="78"/>
      <c r="AT454" s="108"/>
      <c r="AU454" s="108"/>
      <c r="AV454" s="108"/>
      <c r="AW454" s="108"/>
      <c r="AX454" s="108"/>
      <c r="AY454" s="109">
        <v>-12</v>
      </c>
      <c r="AZ454" s="2">
        <f t="shared" si="406"/>
        <v>278</v>
      </c>
      <c r="BA454" s="10"/>
      <c r="BB454" s="13">
        <f t="shared" si="407"/>
        <v>68</v>
      </c>
      <c r="BC454" s="10"/>
      <c r="BD454" s="14">
        <f t="shared" si="408"/>
        <v>117</v>
      </c>
      <c r="BE454" s="14">
        <f t="shared" si="413"/>
        <v>112</v>
      </c>
      <c r="BF454" s="2">
        <f t="shared" si="409"/>
        <v>229</v>
      </c>
      <c r="BG454" s="2">
        <f t="shared" si="410"/>
        <v>161</v>
      </c>
    </row>
    <row r="455" spans="1:59" x14ac:dyDescent="0.3">
      <c r="A455" s="9" t="s">
        <v>32</v>
      </c>
      <c r="B455" s="314">
        <v>289</v>
      </c>
      <c r="C455" s="99">
        <f>ROUND(Load!$O$43+'2022'!$E$467*0.485/744,0)</f>
        <v>57</v>
      </c>
      <c r="D455" s="2">
        <f t="shared" si="400"/>
        <v>346</v>
      </c>
      <c r="E455" s="9" t="s">
        <v>32</v>
      </c>
      <c r="F455" s="2">
        <f>'Hoover with 30 MW Solar'!$M$39</f>
        <v>25</v>
      </c>
      <c r="G455" s="2">
        <v>35</v>
      </c>
      <c r="H455" s="2"/>
      <c r="I455" s="77">
        <v>50</v>
      </c>
      <c r="J455" s="78"/>
      <c r="K455" s="78"/>
      <c r="L455" s="78">
        <v>50</v>
      </c>
      <c r="M455" s="78">
        <v>25</v>
      </c>
      <c r="N455" s="78"/>
      <c r="O455" s="78"/>
      <c r="P455" s="108"/>
      <c r="Q455" s="108"/>
      <c r="R455" s="108"/>
      <c r="S455" s="108"/>
      <c r="T455" s="108"/>
      <c r="U455" s="109">
        <v>-12</v>
      </c>
      <c r="V455" s="2">
        <f t="shared" si="401"/>
        <v>173</v>
      </c>
      <c r="W455" s="10"/>
      <c r="X455" s="13">
        <f t="shared" si="402"/>
        <v>173</v>
      </c>
      <c r="Y455" s="10"/>
      <c r="Z455" s="14">
        <f t="shared" si="411"/>
        <v>117</v>
      </c>
      <c r="AA455" s="14">
        <f t="shared" si="414"/>
        <v>142</v>
      </c>
      <c r="AB455" s="2">
        <f t="shared" si="403"/>
        <v>259</v>
      </c>
      <c r="AC455" s="2">
        <f t="shared" si="404"/>
        <v>86</v>
      </c>
      <c r="AE455" s="9" t="s">
        <v>32</v>
      </c>
      <c r="AF455" s="2">
        <v>289</v>
      </c>
      <c r="AG455" s="99">
        <f>ROUND(Load!$O$43+'2022'!$E$467*0.485/744,0)</f>
        <v>57</v>
      </c>
      <c r="AH455" s="2">
        <f t="shared" si="405"/>
        <v>346</v>
      </c>
      <c r="AI455" s="9" t="s">
        <v>32</v>
      </c>
      <c r="AJ455" s="2">
        <f>'Hoover with 30 MW Solar'!$M$39</f>
        <v>25</v>
      </c>
      <c r="AK455" s="2">
        <v>35</v>
      </c>
      <c r="AL455" s="2"/>
      <c r="AM455" s="77">
        <v>50</v>
      </c>
      <c r="AN455" s="78">
        <v>50</v>
      </c>
      <c r="AO455" s="78">
        <v>50</v>
      </c>
      <c r="AP455" s="78">
        <v>25</v>
      </c>
      <c r="AQ455" s="78">
        <v>55</v>
      </c>
      <c r="AR455" s="78"/>
      <c r="AS455" s="78"/>
      <c r="AT455" s="108"/>
      <c r="AU455" s="108"/>
      <c r="AV455" s="108"/>
      <c r="AW455" s="108"/>
      <c r="AX455" s="108"/>
      <c r="AY455" s="109">
        <v>-12</v>
      </c>
      <c r="AZ455" s="2">
        <f t="shared" si="406"/>
        <v>278</v>
      </c>
      <c r="BA455" s="10"/>
      <c r="BB455" s="13">
        <f t="shared" si="407"/>
        <v>68</v>
      </c>
      <c r="BC455" s="10"/>
      <c r="BD455" s="14">
        <f t="shared" si="408"/>
        <v>117</v>
      </c>
      <c r="BE455" s="14">
        <f t="shared" si="413"/>
        <v>112</v>
      </c>
      <c r="BF455" s="2">
        <f t="shared" si="409"/>
        <v>229</v>
      </c>
      <c r="BG455" s="2">
        <f t="shared" si="410"/>
        <v>161</v>
      </c>
    </row>
    <row r="456" spans="1:59" x14ac:dyDescent="0.3">
      <c r="A456" s="9" t="s">
        <v>33</v>
      </c>
      <c r="B456" s="314"/>
      <c r="C456" s="99">
        <f>ROUND(Load!$O$43+'2022'!$E$467*0.485/744,0)</f>
        <v>57</v>
      </c>
      <c r="D456" s="2">
        <f t="shared" si="400"/>
        <v>57</v>
      </c>
      <c r="E456" s="9" t="s">
        <v>33</v>
      </c>
      <c r="F456" s="2">
        <f>'Hoover with 30 MW Solar'!$M$39</f>
        <v>25</v>
      </c>
      <c r="G456" s="2">
        <v>35</v>
      </c>
      <c r="H456" s="2"/>
      <c r="I456" s="77">
        <v>50</v>
      </c>
      <c r="J456" s="78"/>
      <c r="K456" s="78"/>
      <c r="L456" s="78">
        <v>50</v>
      </c>
      <c r="M456" s="78">
        <v>25</v>
      </c>
      <c r="N456" s="78"/>
      <c r="O456" s="78"/>
      <c r="P456" s="108"/>
      <c r="Q456" s="108"/>
      <c r="R456" s="108"/>
      <c r="S456" s="108"/>
      <c r="T456" s="108"/>
      <c r="U456" s="109">
        <v>-12</v>
      </c>
      <c r="V456" s="2">
        <f t="shared" si="401"/>
        <v>173</v>
      </c>
      <c r="W456" s="10"/>
      <c r="X456" s="13">
        <f t="shared" si="402"/>
        <v>-116</v>
      </c>
      <c r="Y456" s="10"/>
      <c r="Z456" s="14">
        <f t="shared" si="411"/>
        <v>117</v>
      </c>
      <c r="AA456" s="14">
        <f t="shared" si="414"/>
        <v>142</v>
      </c>
      <c r="AB456" s="2">
        <f t="shared" si="403"/>
        <v>259</v>
      </c>
      <c r="AC456" s="2">
        <f t="shared" si="404"/>
        <v>375</v>
      </c>
      <c r="AE456" s="9" t="s">
        <v>33</v>
      </c>
      <c r="AF456" s="2"/>
      <c r="AG456" s="99">
        <f>ROUND(Load!$O$43+'2022'!$E$467*0.485/744,0)</f>
        <v>57</v>
      </c>
      <c r="AH456" s="2">
        <f t="shared" si="405"/>
        <v>57</v>
      </c>
      <c r="AI456" s="9" t="s">
        <v>33</v>
      </c>
      <c r="AJ456" s="2">
        <f>'Hoover with 30 MW Solar'!$M$39</f>
        <v>25</v>
      </c>
      <c r="AK456" s="2">
        <v>35</v>
      </c>
      <c r="AL456" s="2"/>
      <c r="AM456" s="77">
        <v>50</v>
      </c>
      <c r="AN456" s="78">
        <v>50</v>
      </c>
      <c r="AO456" s="78">
        <v>50</v>
      </c>
      <c r="AP456" s="78">
        <v>25</v>
      </c>
      <c r="AQ456" s="78">
        <v>55</v>
      </c>
      <c r="AR456" s="78"/>
      <c r="AS456" s="78"/>
      <c r="AT456" s="108"/>
      <c r="AU456" s="108"/>
      <c r="AV456" s="108"/>
      <c r="AW456" s="108"/>
      <c r="AX456" s="108"/>
      <c r="AY456" s="109">
        <v>-12</v>
      </c>
      <c r="AZ456" s="2">
        <f t="shared" si="406"/>
        <v>278</v>
      </c>
      <c r="BA456" s="10"/>
      <c r="BB456" s="13">
        <f t="shared" si="407"/>
        <v>-221</v>
      </c>
      <c r="BC456" s="10"/>
      <c r="BD456" s="14">
        <f t="shared" si="408"/>
        <v>117</v>
      </c>
      <c r="BE456" s="14">
        <f t="shared" si="413"/>
        <v>112</v>
      </c>
      <c r="BF456" s="2">
        <f t="shared" si="409"/>
        <v>229</v>
      </c>
      <c r="BG456" s="2">
        <f t="shared" si="410"/>
        <v>450</v>
      </c>
    </row>
    <row r="457" spans="1:59" x14ac:dyDescent="0.3">
      <c r="A457" s="9" t="s">
        <v>34</v>
      </c>
      <c r="B457" s="314"/>
      <c r="C457" s="99">
        <f>ROUND(Load!$O$43+'2022'!$E$467*0.485/744,0)</f>
        <v>57</v>
      </c>
      <c r="D457" s="2">
        <f t="shared" si="400"/>
        <v>57</v>
      </c>
      <c r="E457" s="9" t="s">
        <v>34</v>
      </c>
      <c r="F457" s="2">
        <f>'Hoover with 30 MW Solar'!$M$39</f>
        <v>25</v>
      </c>
      <c r="G457" s="2">
        <v>35</v>
      </c>
      <c r="H457" s="2"/>
      <c r="I457" s="77">
        <v>50</v>
      </c>
      <c r="J457" s="78"/>
      <c r="K457" s="78"/>
      <c r="L457" s="78">
        <v>50</v>
      </c>
      <c r="M457" s="78">
        <v>25</v>
      </c>
      <c r="N457" s="78"/>
      <c r="O457" s="78"/>
      <c r="P457" s="108"/>
      <c r="Q457" s="108"/>
      <c r="R457" s="108"/>
      <c r="S457" s="108"/>
      <c r="T457" s="108"/>
      <c r="U457" s="109">
        <v>-12</v>
      </c>
      <c r="V457" s="2">
        <f t="shared" si="401"/>
        <v>173</v>
      </c>
      <c r="W457" s="10"/>
      <c r="X457" s="13">
        <f t="shared" si="402"/>
        <v>-116</v>
      </c>
      <c r="Y457" s="10"/>
      <c r="Z457" s="14">
        <f t="shared" si="411"/>
        <v>117</v>
      </c>
      <c r="AA457" s="14">
        <f t="shared" si="414"/>
        <v>142</v>
      </c>
      <c r="AB457" s="2">
        <f t="shared" si="403"/>
        <v>259</v>
      </c>
      <c r="AC457" s="2">
        <f t="shared" si="404"/>
        <v>375</v>
      </c>
      <c r="AE457" s="9" t="s">
        <v>34</v>
      </c>
      <c r="AF457" s="2"/>
      <c r="AG457" s="99">
        <f>ROUND(Load!$O$43+'2022'!$E$467*0.485/744,0)</f>
        <v>57</v>
      </c>
      <c r="AH457" s="2">
        <f t="shared" si="405"/>
        <v>57</v>
      </c>
      <c r="AI457" s="9" t="s">
        <v>34</v>
      </c>
      <c r="AJ457" s="2">
        <f>'Hoover with 30 MW Solar'!$M$39</f>
        <v>25</v>
      </c>
      <c r="AK457" s="2">
        <v>35</v>
      </c>
      <c r="AL457" s="2"/>
      <c r="AM457" s="77">
        <v>50</v>
      </c>
      <c r="AN457" s="78">
        <v>50</v>
      </c>
      <c r="AO457" s="78">
        <v>50</v>
      </c>
      <c r="AP457" s="78">
        <v>25</v>
      </c>
      <c r="AQ457" s="78">
        <v>55</v>
      </c>
      <c r="AR457" s="78"/>
      <c r="AS457" s="78"/>
      <c r="AT457" s="108"/>
      <c r="AU457" s="108"/>
      <c r="AV457" s="108"/>
      <c r="AW457" s="108"/>
      <c r="AX457" s="108"/>
      <c r="AY457" s="109">
        <v>-12</v>
      </c>
      <c r="AZ457" s="2">
        <f t="shared" si="406"/>
        <v>278</v>
      </c>
      <c r="BA457" s="10"/>
      <c r="BB457" s="13">
        <f t="shared" si="407"/>
        <v>-221</v>
      </c>
      <c r="BC457" s="10"/>
      <c r="BD457" s="14">
        <f t="shared" si="408"/>
        <v>117</v>
      </c>
      <c r="BE457" s="14">
        <f t="shared" si="413"/>
        <v>112</v>
      </c>
      <c r="BF457" s="2">
        <f t="shared" si="409"/>
        <v>229</v>
      </c>
      <c r="BG457" s="2">
        <f t="shared" si="410"/>
        <v>450</v>
      </c>
    </row>
    <row r="458" spans="1:59" x14ac:dyDescent="0.3">
      <c r="A458" s="9" t="s">
        <v>35</v>
      </c>
      <c r="B458" s="314"/>
      <c r="C458" s="99">
        <f>ROUND(Load!$O$43+'2022'!$E$467*0.485/744,0)</f>
        <v>57</v>
      </c>
      <c r="D458" s="2">
        <f t="shared" si="400"/>
        <v>57</v>
      </c>
      <c r="E458" s="9" t="s">
        <v>35</v>
      </c>
      <c r="F458" s="2">
        <f>'Hoover with 30 MW Solar'!$M$39</f>
        <v>25</v>
      </c>
      <c r="G458" s="2">
        <v>35</v>
      </c>
      <c r="H458" s="2">
        <v>20</v>
      </c>
      <c r="I458" s="77">
        <v>50</v>
      </c>
      <c r="J458" s="78"/>
      <c r="K458" s="78"/>
      <c r="L458" s="78">
        <v>50</v>
      </c>
      <c r="M458" s="78">
        <v>25</v>
      </c>
      <c r="N458" s="78"/>
      <c r="O458" s="78"/>
      <c r="P458" s="108"/>
      <c r="Q458" s="108"/>
      <c r="R458" s="108"/>
      <c r="S458" s="108"/>
      <c r="T458" s="108"/>
      <c r="U458" s="109">
        <v>-12</v>
      </c>
      <c r="V458" s="2">
        <f t="shared" si="401"/>
        <v>193</v>
      </c>
      <c r="W458" s="10"/>
      <c r="X458" s="13">
        <f t="shared" si="402"/>
        <v>-136</v>
      </c>
      <c r="Y458" s="10"/>
      <c r="Z458" s="14">
        <f t="shared" si="411"/>
        <v>97</v>
      </c>
      <c r="AA458" s="14">
        <f t="shared" si="414"/>
        <v>142</v>
      </c>
      <c r="AB458" s="2">
        <f t="shared" si="403"/>
        <v>239</v>
      </c>
      <c r="AC458" s="2">
        <f t="shared" si="404"/>
        <v>375</v>
      </c>
      <c r="AE458" s="9" t="s">
        <v>35</v>
      </c>
      <c r="AF458" s="2"/>
      <c r="AG458" s="99">
        <f>ROUND(Load!$O$43+'2022'!$E$467*0.485/744,0)</f>
        <v>57</v>
      </c>
      <c r="AH458" s="2">
        <f t="shared" si="405"/>
        <v>57</v>
      </c>
      <c r="AI458" s="9" t="s">
        <v>35</v>
      </c>
      <c r="AJ458" s="2">
        <f>'Hoover with 30 MW Solar'!$M$39</f>
        <v>25</v>
      </c>
      <c r="AK458" s="2">
        <v>35</v>
      </c>
      <c r="AL458" s="2">
        <v>20</v>
      </c>
      <c r="AM458" s="77">
        <v>50</v>
      </c>
      <c r="AN458" s="78">
        <v>50</v>
      </c>
      <c r="AO458" s="78">
        <v>50</v>
      </c>
      <c r="AP458" s="78">
        <v>25</v>
      </c>
      <c r="AQ458" s="78">
        <v>55</v>
      </c>
      <c r="AR458" s="78"/>
      <c r="AS458" s="78"/>
      <c r="AT458" s="108"/>
      <c r="AU458" s="108"/>
      <c r="AV458" s="108"/>
      <c r="AW458" s="108"/>
      <c r="AX458" s="108"/>
      <c r="AY458" s="109">
        <v>-12</v>
      </c>
      <c r="AZ458" s="2">
        <f t="shared" si="406"/>
        <v>298</v>
      </c>
      <c r="BA458" s="10"/>
      <c r="BB458" s="13">
        <f t="shared" si="407"/>
        <v>-241</v>
      </c>
      <c r="BC458" s="10"/>
      <c r="BD458" s="14">
        <f t="shared" si="408"/>
        <v>97</v>
      </c>
      <c r="BE458" s="14">
        <f t="shared" si="413"/>
        <v>112</v>
      </c>
      <c r="BF458" s="2">
        <f t="shared" si="409"/>
        <v>209</v>
      </c>
      <c r="BG458" s="2">
        <f t="shared" si="410"/>
        <v>450</v>
      </c>
    </row>
    <row r="459" spans="1:59" x14ac:dyDescent="0.3">
      <c r="A459" s="9" t="s">
        <v>36</v>
      </c>
      <c r="B459" s="314"/>
      <c r="C459" s="99">
        <f>ROUND(Load!$O$43+'2022'!$E$467*0.485/744,0)</f>
        <v>57</v>
      </c>
      <c r="D459" s="2">
        <f t="shared" si="400"/>
        <v>57</v>
      </c>
      <c r="E459" s="9" t="s">
        <v>36</v>
      </c>
      <c r="F459" s="2">
        <f>'Hoover with 30 MW Solar'!$M$39</f>
        <v>25</v>
      </c>
      <c r="G459" s="2">
        <v>35</v>
      </c>
      <c r="H459" s="2">
        <v>21</v>
      </c>
      <c r="I459" s="77">
        <v>50</v>
      </c>
      <c r="J459" s="78"/>
      <c r="K459" s="78"/>
      <c r="L459" s="78">
        <v>50</v>
      </c>
      <c r="M459" s="78">
        <v>25</v>
      </c>
      <c r="N459" s="78"/>
      <c r="O459" s="78"/>
      <c r="P459" s="108"/>
      <c r="Q459" s="108"/>
      <c r="R459" s="108"/>
      <c r="S459" s="108"/>
      <c r="T459" s="108"/>
      <c r="U459" s="109">
        <v>-12</v>
      </c>
      <c r="V459" s="2">
        <f t="shared" si="401"/>
        <v>194</v>
      </c>
      <c r="W459" s="10"/>
      <c r="X459" s="13">
        <f t="shared" si="402"/>
        <v>-137</v>
      </c>
      <c r="Y459" s="10"/>
      <c r="Z459" s="14">
        <f t="shared" si="411"/>
        <v>96</v>
      </c>
      <c r="AA459" s="14">
        <f t="shared" si="414"/>
        <v>142</v>
      </c>
      <c r="AB459" s="2">
        <f t="shared" si="403"/>
        <v>238</v>
      </c>
      <c r="AC459" s="2">
        <f t="shared" si="404"/>
        <v>375</v>
      </c>
      <c r="AE459" s="9" t="s">
        <v>36</v>
      </c>
      <c r="AF459" s="2"/>
      <c r="AG459" s="99">
        <f>ROUND(Load!$O$43+'2022'!$E$467*0.485/744,0)</f>
        <v>57</v>
      </c>
      <c r="AH459" s="2">
        <f t="shared" si="405"/>
        <v>57</v>
      </c>
      <c r="AI459" s="9" t="s">
        <v>36</v>
      </c>
      <c r="AJ459" s="2">
        <f>'Hoover with 30 MW Solar'!$M$39</f>
        <v>25</v>
      </c>
      <c r="AK459" s="2">
        <v>35</v>
      </c>
      <c r="AL459" s="2">
        <v>21</v>
      </c>
      <c r="AM459" s="77">
        <v>50</v>
      </c>
      <c r="AN459" s="78">
        <v>50</v>
      </c>
      <c r="AO459" s="78">
        <v>50</v>
      </c>
      <c r="AP459" s="78">
        <v>25</v>
      </c>
      <c r="AQ459" s="78">
        <v>55</v>
      </c>
      <c r="AR459" s="78"/>
      <c r="AS459" s="78"/>
      <c r="AT459" s="108"/>
      <c r="AU459" s="108"/>
      <c r="AV459" s="108"/>
      <c r="AW459" s="108"/>
      <c r="AX459" s="108"/>
      <c r="AY459" s="109">
        <v>-12</v>
      </c>
      <c r="AZ459" s="2">
        <f t="shared" si="406"/>
        <v>299</v>
      </c>
      <c r="BA459" s="10"/>
      <c r="BB459" s="13">
        <f t="shared" si="407"/>
        <v>-242</v>
      </c>
      <c r="BC459" s="10"/>
      <c r="BD459" s="14">
        <f t="shared" si="408"/>
        <v>96</v>
      </c>
      <c r="BE459" s="14">
        <f t="shared" si="413"/>
        <v>112</v>
      </c>
      <c r="BF459" s="2">
        <f t="shared" si="409"/>
        <v>208</v>
      </c>
      <c r="BG459" s="2">
        <f t="shared" si="410"/>
        <v>450</v>
      </c>
    </row>
    <row r="460" spans="1:59" x14ac:dyDescent="0.3">
      <c r="A460" s="9" t="s">
        <v>37</v>
      </c>
      <c r="B460" s="314"/>
      <c r="C460" s="99">
        <f>ROUND(Load!$O$43+'2022'!$E$467*0.485/744,0)</f>
        <v>57</v>
      </c>
      <c r="D460" s="2">
        <f t="shared" si="400"/>
        <v>57</v>
      </c>
      <c r="E460" s="9" t="s">
        <v>37</v>
      </c>
      <c r="F460" s="2">
        <f>'Hoover with 30 MW Solar'!$M$39</f>
        <v>25</v>
      </c>
      <c r="G460" s="2">
        <v>35</v>
      </c>
      <c r="H460" s="2">
        <v>21</v>
      </c>
      <c r="I460" s="77">
        <v>50</v>
      </c>
      <c r="J460" s="78"/>
      <c r="K460" s="78"/>
      <c r="L460" s="78">
        <v>50</v>
      </c>
      <c r="M460" s="78">
        <v>25</v>
      </c>
      <c r="N460" s="78"/>
      <c r="O460" s="78"/>
      <c r="P460" s="108"/>
      <c r="Q460" s="108"/>
      <c r="R460" s="108"/>
      <c r="S460" s="108"/>
      <c r="T460" s="108"/>
      <c r="U460" s="109">
        <v>-12</v>
      </c>
      <c r="V460" s="2">
        <f t="shared" si="401"/>
        <v>194</v>
      </c>
      <c r="W460" s="10"/>
      <c r="X460" s="13">
        <f t="shared" si="402"/>
        <v>-137</v>
      </c>
      <c r="Y460" s="10"/>
      <c r="Z460" s="14">
        <f t="shared" si="411"/>
        <v>96</v>
      </c>
      <c r="AA460" s="14">
        <f t="shared" si="414"/>
        <v>142</v>
      </c>
      <c r="AB460" s="2">
        <f t="shared" si="403"/>
        <v>238</v>
      </c>
      <c r="AC460" s="2">
        <f t="shared" si="404"/>
        <v>375</v>
      </c>
      <c r="AE460" s="9" t="s">
        <v>37</v>
      </c>
      <c r="AF460" s="2"/>
      <c r="AG460" s="99">
        <f>ROUND(Load!$O$43+'2022'!$E$467*0.485/744,0)</f>
        <v>57</v>
      </c>
      <c r="AH460" s="2">
        <f t="shared" si="405"/>
        <v>57</v>
      </c>
      <c r="AI460" s="9" t="s">
        <v>37</v>
      </c>
      <c r="AJ460" s="2">
        <f>'Hoover with 30 MW Solar'!$M$39</f>
        <v>25</v>
      </c>
      <c r="AK460" s="2">
        <v>35</v>
      </c>
      <c r="AL460" s="2">
        <v>21</v>
      </c>
      <c r="AM460" s="77">
        <v>50</v>
      </c>
      <c r="AN460" s="78">
        <v>50</v>
      </c>
      <c r="AO460" s="78">
        <v>50</v>
      </c>
      <c r="AP460" s="78">
        <v>25</v>
      </c>
      <c r="AQ460" s="78">
        <v>55</v>
      </c>
      <c r="AR460" s="78"/>
      <c r="AS460" s="78"/>
      <c r="AT460" s="108"/>
      <c r="AU460" s="108"/>
      <c r="AV460" s="108"/>
      <c r="AW460" s="108"/>
      <c r="AX460" s="108"/>
      <c r="AY460" s="109">
        <v>-12</v>
      </c>
      <c r="AZ460" s="2">
        <f t="shared" si="406"/>
        <v>299</v>
      </c>
      <c r="BA460" s="10"/>
      <c r="BB460" s="13">
        <f t="shared" si="407"/>
        <v>-242</v>
      </c>
      <c r="BC460" s="10"/>
      <c r="BD460" s="14">
        <f t="shared" si="408"/>
        <v>96</v>
      </c>
      <c r="BE460" s="14">
        <f t="shared" si="413"/>
        <v>112</v>
      </c>
      <c r="BF460" s="2">
        <f t="shared" si="409"/>
        <v>208</v>
      </c>
      <c r="BG460" s="2">
        <f t="shared" si="410"/>
        <v>450</v>
      </c>
    </row>
    <row r="461" spans="1:59" x14ac:dyDescent="0.3">
      <c r="A461" s="9" t="s">
        <v>38</v>
      </c>
      <c r="B461" s="314"/>
      <c r="C461" s="99">
        <f>ROUND(Load!$O$43+'2022'!$E$467*0.485/744,0)</f>
        <v>57</v>
      </c>
      <c r="D461" s="2">
        <f t="shared" si="400"/>
        <v>57</v>
      </c>
      <c r="E461" s="9" t="s">
        <v>38</v>
      </c>
      <c r="F461" s="2">
        <f>'Hoover with 30 MW Solar'!$M$39</f>
        <v>25</v>
      </c>
      <c r="G461" s="2">
        <v>35</v>
      </c>
      <c r="H461" s="2">
        <v>21</v>
      </c>
      <c r="I461" s="77">
        <v>50</v>
      </c>
      <c r="J461" s="78"/>
      <c r="K461" s="78"/>
      <c r="L461" s="78">
        <v>50</v>
      </c>
      <c r="M461" s="78">
        <v>25</v>
      </c>
      <c r="N461" s="78"/>
      <c r="O461" s="78"/>
      <c r="P461" s="108"/>
      <c r="Q461" s="108"/>
      <c r="R461" s="108"/>
      <c r="S461" s="108"/>
      <c r="T461" s="108"/>
      <c r="U461" s="109">
        <v>-12</v>
      </c>
      <c r="V461" s="2">
        <f t="shared" si="401"/>
        <v>194</v>
      </c>
      <c r="W461" s="10"/>
      <c r="X461" s="13">
        <f t="shared" si="402"/>
        <v>-137</v>
      </c>
      <c r="Y461" s="10"/>
      <c r="Z461" s="14">
        <f t="shared" si="411"/>
        <v>96</v>
      </c>
      <c r="AA461" s="14">
        <f t="shared" si="414"/>
        <v>142</v>
      </c>
      <c r="AB461" s="2">
        <f t="shared" si="403"/>
        <v>238</v>
      </c>
      <c r="AC461" s="2">
        <f t="shared" si="404"/>
        <v>375</v>
      </c>
      <c r="AE461" s="9" t="s">
        <v>38</v>
      </c>
      <c r="AF461" s="2"/>
      <c r="AG461" s="99">
        <f>ROUND(Load!$O$43+'2022'!$E$467*0.485/744,0)</f>
        <v>57</v>
      </c>
      <c r="AH461" s="2">
        <f t="shared" si="405"/>
        <v>57</v>
      </c>
      <c r="AI461" s="9" t="s">
        <v>38</v>
      </c>
      <c r="AJ461" s="2">
        <f>'Hoover with 30 MW Solar'!$M$39</f>
        <v>25</v>
      </c>
      <c r="AK461" s="2">
        <v>35</v>
      </c>
      <c r="AL461" s="2">
        <v>21</v>
      </c>
      <c r="AM461" s="77">
        <v>50</v>
      </c>
      <c r="AN461" s="78">
        <v>50</v>
      </c>
      <c r="AO461" s="78">
        <v>50</v>
      </c>
      <c r="AP461" s="78">
        <v>25</v>
      </c>
      <c r="AQ461" s="78">
        <v>55</v>
      </c>
      <c r="AR461" s="78"/>
      <c r="AS461" s="78"/>
      <c r="AT461" s="108"/>
      <c r="AU461" s="108"/>
      <c r="AV461" s="108"/>
      <c r="AW461" s="108"/>
      <c r="AX461" s="108"/>
      <c r="AY461" s="109">
        <v>-12</v>
      </c>
      <c r="AZ461" s="2">
        <f t="shared" si="406"/>
        <v>299</v>
      </c>
      <c r="BA461" s="10"/>
      <c r="BB461" s="13">
        <f t="shared" si="407"/>
        <v>-242</v>
      </c>
      <c r="BC461" s="10"/>
      <c r="BD461" s="14">
        <f t="shared" si="408"/>
        <v>96</v>
      </c>
      <c r="BE461" s="14">
        <f t="shared" si="413"/>
        <v>112</v>
      </c>
      <c r="BF461" s="2">
        <f t="shared" si="409"/>
        <v>208</v>
      </c>
      <c r="BG461" s="2">
        <f t="shared" si="410"/>
        <v>450</v>
      </c>
    </row>
    <row r="462" spans="1:59" x14ac:dyDescent="0.3">
      <c r="A462" s="9" t="s">
        <v>39</v>
      </c>
      <c r="B462" s="314"/>
      <c r="C462" s="99">
        <f>ROUND(Load!$O$43+'2022'!$E$467*0.485/744,0)</f>
        <v>57</v>
      </c>
      <c r="D462" s="2">
        <f t="shared" si="400"/>
        <v>57</v>
      </c>
      <c r="E462" s="9" t="s">
        <v>39</v>
      </c>
      <c r="F462" s="2">
        <f>'Hoover with 30 MW Solar'!$M$39</f>
        <v>25</v>
      </c>
      <c r="G462" s="2">
        <v>35</v>
      </c>
      <c r="H462" s="2">
        <v>21</v>
      </c>
      <c r="I462" s="77">
        <v>50</v>
      </c>
      <c r="J462" s="78"/>
      <c r="K462" s="78"/>
      <c r="L462" s="78">
        <v>50</v>
      </c>
      <c r="M462" s="78">
        <v>25</v>
      </c>
      <c r="N462" s="78"/>
      <c r="O462" s="78"/>
      <c r="P462" s="108"/>
      <c r="Q462" s="108"/>
      <c r="R462" s="108"/>
      <c r="S462" s="108"/>
      <c r="T462" s="108"/>
      <c r="U462" s="109">
        <v>-12</v>
      </c>
      <c r="V462" s="2">
        <f t="shared" si="401"/>
        <v>194</v>
      </c>
      <c r="W462" s="10"/>
      <c r="X462" s="13">
        <f t="shared" si="402"/>
        <v>-137</v>
      </c>
      <c r="Y462" s="10"/>
      <c r="Z462" s="14">
        <f t="shared" si="411"/>
        <v>96</v>
      </c>
      <c r="AA462" s="14">
        <f t="shared" si="414"/>
        <v>142</v>
      </c>
      <c r="AB462" s="2">
        <f t="shared" si="403"/>
        <v>238</v>
      </c>
      <c r="AC462" s="2">
        <f t="shared" si="404"/>
        <v>375</v>
      </c>
      <c r="AE462" s="9" t="s">
        <v>39</v>
      </c>
      <c r="AF462" s="2"/>
      <c r="AG462" s="99">
        <f>ROUND(Load!$O$43+'2022'!$E$467*0.485/744,0)</f>
        <v>57</v>
      </c>
      <c r="AH462" s="2">
        <f t="shared" si="405"/>
        <v>57</v>
      </c>
      <c r="AI462" s="9" t="s">
        <v>39</v>
      </c>
      <c r="AJ462" s="2">
        <f>'Hoover with 30 MW Solar'!$M$39</f>
        <v>25</v>
      </c>
      <c r="AK462" s="2">
        <v>35</v>
      </c>
      <c r="AL462" s="2">
        <v>21</v>
      </c>
      <c r="AM462" s="77">
        <v>50</v>
      </c>
      <c r="AN462" s="78">
        <v>50</v>
      </c>
      <c r="AO462" s="78">
        <v>50</v>
      </c>
      <c r="AP462" s="78">
        <v>25</v>
      </c>
      <c r="AQ462" s="78">
        <v>55</v>
      </c>
      <c r="AR462" s="78"/>
      <c r="AS462" s="78"/>
      <c r="AT462" s="108"/>
      <c r="AU462" s="108"/>
      <c r="AV462" s="108"/>
      <c r="AW462" s="108"/>
      <c r="AX462" s="108"/>
      <c r="AY462" s="109">
        <v>-12</v>
      </c>
      <c r="AZ462" s="2">
        <f t="shared" si="406"/>
        <v>299</v>
      </c>
      <c r="BA462" s="10"/>
      <c r="BB462" s="13">
        <f t="shared" si="407"/>
        <v>-242</v>
      </c>
      <c r="BC462" s="10"/>
      <c r="BD462" s="14">
        <f t="shared" si="408"/>
        <v>96</v>
      </c>
      <c r="BE462" s="14">
        <f t="shared" si="413"/>
        <v>112</v>
      </c>
      <c r="BF462" s="2">
        <f t="shared" si="409"/>
        <v>208</v>
      </c>
      <c r="BG462" s="2">
        <f t="shared" si="410"/>
        <v>450</v>
      </c>
    </row>
    <row r="463" spans="1:59" x14ac:dyDescent="0.3">
      <c r="A463" s="9" t="s">
        <v>40</v>
      </c>
      <c r="B463" s="314"/>
      <c r="C463" s="99">
        <f>ROUND(Load!$O$43+'2022'!$E$467*0.485/744,0)</f>
        <v>57</v>
      </c>
      <c r="D463" s="2">
        <f t="shared" si="400"/>
        <v>57</v>
      </c>
      <c r="E463" s="9" t="s">
        <v>40</v>
      </c>
      <c r="F463" s="2">
        <f>'Hoover with 30 MW Solar'!$M$39</f>
        <v>25</v>
      </c>
      <c r="G463" s="2">
        <v>35</v>
      </c>
      <c r="H463" s="2">
        <v>20</v>
      </c>
      <c r="I463" s="77">
        <v>50</v>
      </c>
      <c r="J463" s="78"/>
      <c r="K463" s="78"/>
      <c r="L463" s="78">
        <v>50</v>
      </c>
      <c r="M463" s="78">
        <v>25</v>
      </c>
      <c r="N463" s="78"/>
      <c r="O463" s="78"/>
      <c r="P463" s="108"/>
      <c r="Q463" s="108"/>
      <c r="R463" s="108"/>
      <c r="S463" s="108"/>
      <c r="T463" s="108"/>
      <c r="U463" s="109">
        <v>-12</v>
      </c>
      <c r="V463" s="2">
        <f t="shared" si="401"/>
        <v>193</v>
      </c>
      <c r="W463" s="10"/>
      <c r="X463" s="13">
        <f t="shared" si="402"/>
        <v>-136</v>
      </c>
      <c r="Y463" s="10"/>
      <c r="Z463" s="14">
        <f t="shared" si="411"/>
        <v>97</v>
      </c>
      <c r="AA463" s="14">
        <f t="shared" si="414"/>
        <v>142</v>
      </c>
      <c r="AB463" s="2">
        <f t="shared" si="403"/>
        <v>239</v>
      </c>
      <c r="AC463" s="2">
        <f t="shared" si="404"/>
        <v>375</v>
      </c>
      <c r="AE463" s="9" t="s">
        <v>40</v>
      </c>
      <c r="AF463" s="2"/>
      <c r="AG463" s="99">
        <f>ROUND(Load!$O$43+'2022'!$E$467*0.485/744,0)</f>
        <v>57</v>
      </c>
      <c r="AH463" s="2">
        <f t="shared" si="405"/>
        <v>57</v>
      </c>
      <c r="AI463" s="9" t="s">
        <v>40</v>
      </c>
      <c r="AJ463" s="2">
        <f>'Hoover with 30 MW Solar'!$M$39</f>
        <v>25</v>
      </c>
      <c r="AK463" s="2">
        <v>35</v>
      </c>
      <c r="AL463" s="2">
        <v>20</v>
      </c>
      <c r="AM463" s="77">
        <v>50</v>
      </c>
      <c r="AN463" s="78">
        <v>50</v>
      </c>
      <c r="AO463" s="78">
        <v>50</v>
      </c>
      <c r="AP463" s="78">
        <v>25</v>
      </c>
      <c r="AQ463" s="78">
        <v>55</v>
      </c>
      <c r="AR463" s="78"/>
      <c r="AS463" s="78"/>
      <c r="AT463" s="108"/>
      <c r="AU463" s="108"/>
      <c r="AV463" s="108"/>
      <c r="AW463" s="108"/>
      <c r="AX463" s="108"/>
      <c r="AY463" s="109">
        <v>-12</v>
      </c>
      <c r="AZ463" s="2">
        <f t="shared" si="406"/>
        <v>298</v>
      </c>
      <c r="BA463" s="10"/>
      <c r="BB463" s="13">
        <f t="shared" si="407"/>
        <v>-241</v>
      </c>
      <c r="BC463" s="10"/>
      <c r="BD463" s="14">
        <f t="shared" si="408"/>
        <v>97</v>
      </c>
      <c r="BE463" s="14">
        <f t="shared" si="413"/>
        <v>112</v>
      </c>
      <c r="BF463" s="2">
        <f t="shared" si="409"/>
        <v>209</v>
      </c>
      <c r="BG463" s="2">
        <f t="shared" si="410"/>
        <v>450</v>
      </c>
    </row>
    <row r="464" spans="1:59" x14ac:dyDescent="0.3">
      <c r="A464" s="9" t="s">
        <v>41</v>
      </c>
      <c r="B464" s="314">
        <v>49</v>
      </c>
      <c r="C464" s="99">
        <f>ROUND(Load!$O$43+'2022'!$E$467*0.485/744,0)</f>
        <v>57</v>
      </c>
      <c r="D464" s="2">
        <f t="shared" si="400"/>
        <v>106</v>
      </c>
      <c r="E464" s="9" t="s">
        <v>41</v>
      </c>
      <c r="F464" s="2"/>
      <c r="G464" s="2">
        <v>35</v>
      </c>
      <c r="H464" s="2"/>
      <c r="I464" s="77"/>
      <c r="J464" s="78">
        <v>50</v>
      </c>
      <c r="K464" s="78">
        <v>50</v>
      </c>
      <c r="L464" s="78"/>
      <c r="M464" s="78">
        <v>25</v>
      </c>
      <c r="N464" s="78">
        <v>55</v>
      </c>
      <c r="O464" s="78"/>
      <c r="P464" s="108"/>
      <c r="Q464" s="108"/>
      <c r="R464" s="108"/>
      <c r="S464" s="108"/>
      <c r="T464" s="108"/>
      <c r="U464" s="109"/>
      <c r="V464" s="2">
        <f t="shared" si="401"/>
        <v>215</v>
      </c>
      <c r="W464" s="10"/>
      <c r="X464" s="11">
        <f t="shared" si="402"/>
        <v>-109</v>
      </c>
      <c r="Y464" s="10"/>
      <c r="Z464" s="12">
        <f t="shared" si="411"/>
        <v>142</v>
      </c>
      <c r="AA464" s="12">
        <f t="shared" ref="AA464:AA465" si="415">292-J464-K464-L464-M464-N464</f>
        <v>112</v>
      </c>
      <c r="AB464" s="2">
        <f t="shared" si="403"/>
        <v>254</v>
      </c>
      <c r="AC464" s="2">
        <f t="shared" si="404"/>
        <v>363</v>
      </c>
      <c r="AE464" s="9" t="s">
        <v>41</v>
      </c>
      <c r="AF464" s="2">
        <v>49</v>
      </c>
      <c r="AG464" s="99">
        <f>ROUND(Load!$O$43+'2022'!$E$467*0.485/744,0)</f>
        <v>57</v>
      </c>
      <c r="AH464" s="2">
        <f t="shared" si="405"/>
        <v>106</v>
      </c>
      <c r="AI464" s="9" t="s">
        <v>41</v>
      </c>
      <c r="AJ464" s="2"/>
      <c r="AK464" s="2">
        <v>35</v>
      </c>
      <c r="AL464" s="2"/>
      <c r="AM464" s="77"/>
      <c r="AN464" s="78">
        <v>50</v>
      </c>
      <c r="AO464" s="78">
        <v>50</v>
      </c>
      <c r="AP464" s="78">
        <v>25</v>
      </c>
      <c r="AQ464" s="78">
        <v>55</v>
      </c>
      <c r="AR464" s="78"/>
      <c r="AS464" s="78"/>
      <c r="AT464" s="108"/>
      <c r="AU464" s="108"/>
      <c r="AV464" s="108"/>
      <c r="AW464" s="108"/>
      <c r="AX464" s="108"/>
      <c r="AY464" s="109"/>
      <c r="AZ464" s="2">
        <f t="shared" si="406"/>
        <v>215</v>
      </c>
      <c r="BA464" s="10"/>
      <c r="BB464" s="11">
        <f t="shared" si="407"/>
        <v>-109</v>
      </c>
      <c r="BC464" s="10"/>
      <c r="BD464" s="12">
        <f t="shared" si="408"/>
        <v>142</v>
      </c>
      <c r="BE464" s="12">
        <f t="shared" si="413"/>
        <v>112</v>
      </c>
      <c r="BF464" s="2">
        <f t="shared" si="409"/>
        <v>254</v>
      </c>
      <c r="BG464" s="2">
        <f t="shared" si="410"/>
        <v>363</v>
      </c>
    </row>
    <row r="465" spans="1:59" ht="15" thickBot="1" x14ac:dyDescent="0.35">
      <c r="A465" s="15" t="s">
        <v>42</v>
      </c>
      <c r="B465" s="16">
        <v>49</v>
      </c>
      <c r="C465" s="123">
        <f>ROUND(Load!$O$43+'2022'!$E$467*0.485/744,0)</f>
        <v>57</v>
      </c>
      <c r="D465" s="16">
        <f t="shared" si="400"/>
        <v>106</v>
      </c>
      <c r="E465" s="15" t="s">
        <v>42</v>
      </c>
      <c r="F465" s="16"/>
      <c r="G465" s="16">
        <v>35</v>
      </c>
      <c r="H465" s="16"/>
      <c r="I465" s="75"/>
      <c r="J465" s="76">
        <v>50</v>
      </c>
      <c r="K465" s="76">
        <v>50</v>
      </c>
      <c r="L465" s="76"/>
      <c r="M465" s="76">
        <v>25</v>
      </c>
      <c r="N465" s="76">
        <v>55</v>
      </c>
      <c r="O465" s="76"/>
      <c r="P465" s="106"/>
      <c r="Q465" s="106"/>
      <c r="R465" s="106"/>
      <c r="S465" s="106"/>
      <c r="T465" s="106"/>
      <c r="U465" s="107"/>
      <c r="V465" s="16">
        <f t="shared" si="401"/>
        <v>215</v>
      </c>
      <c r="W465" s="10"/>
      <c r="X465" s="17">
        <f t="shared" si="402"/>
        <v>-109</v>
      </c>
      <c r="Y465" s="10"/>
      <c r="Z465" s="18">
        <f t="shared" si="411"/>
        <v>142</v>
      </c>
      <c r="AA465" s="18">
        <f t="shared" si="415"/>
        <v>112</v>
      </c>
      <c r="AB465" s="16">
        <f t="shared" si="403"/>
        <v>254</v>
      </c>
      <c r="AC465" s="16">
        <f t="shared" si="404"/>
        <v>363</v>
      </c>
      <c r="AE465" s="15" t="s">
        <v>42</v>
      </c>
      <c r="AF465" s="16">
        <v>49</v>
      </c>
      <c r="AG465" s="123">
        <f>ROUND(Load!$O$43+'2022'!$E$467*0.485/744,0)</f>
        <v>57</v>
      </c>
      <c r="AH465" s="16">
        <f t="shared" si="405"/>
        <v>106</v>
      </c>
      <c r="AI465" s="15" t="s">
        <v>42</v>
      </c>
      <c r="AJ465" s="16"/>
      <c r="AK465" s="16">
        <v>35</v>
      </c>
      <c r="AL465" s="16"/>
      <c r="AM465" s="75"/>
      <c r="AN465" s="76">
        <v>50</v>
      </c>
      <c r="AO465" s="76">
        <v>50</v>
      </c>
      <c r="AP465" s="76">
        <v>25</v>
      </c>
      <c r="AQ465" s="76">
        <v>55</v>
      </c>
      <c r="AR465" s="76"/>
      <c r="AS465" s="76"/>
      <c r="AT465" s="106"/>
      <c r="AU465" s="106"/>
      <c r="AV465" s="106"/>
      <c r="AW465" s="106"/>
      <c r="AX465" s="106"/>
      <c r="AY465" s="107"/>
      <c r="AZ465" s="16">
        <f t="shared" si="406"/>
        <v>215</v>
      </c>
      <c r="BA465" s="10"/>
      <c r="BB465" s="17">
        <f t="shared" si="407"/>
        <v>-109</v>
      </c>
      <c r="BC465" s="10"/>
      <c r="BD465" s="18">
        <f t="shared" si="408"/>
        <v>142</v>
      </c>
      <c r="BE465" s="18">
        <f t="shared" si="413"/>
        <v>112</v>
      </c>
      <c r="BF465" s="16">
        <f t="shared" si="409"/>
        <v>254</v>
      </c>
      <c r="BG465" s="16">
        <f t="shared" si="410"/>
        <v>363</v>
      </c>
    </row>
    <row r="466" spans="1:59" ht="15" thickTop="1" x14ac:dyDescent="0.3">
      <c r="A466" s="2" t="s">
        <v>43</v>
      </c>
      <c r="B466" s="2">
        <f>SUM(B442:B465)</f>
        <v>1837</v>
      </c>
      <c r="C466" s="2">
        <f t="shared" ref="C466:D466" si="416">SUM(C442:C465)</f>
        <v>1368</v>
      </c>
      <c r="D466" s="2">
        <f t="shared" si="416"/>
        <v>3205</v>
      </c>
      <c r="E466" s="327" t="s">
        <v>406</v>
      </c>
      <c r="F466" s="2">
        <f t="shared" ref="F466:H466" si="417">SUM(F442:F465)</f>
        <v>400</v>
      </c>
      <c r="G466" s="2">
        <f t="shared" si="417"/>
        <v>840</v>
      </c>
      <c r="H466" s="2">
        <f t="shared" si="417"/>
        <v>154</v>
      </c>
      <c r="I466" s="2">
        <f>SUM(I442:I465)</f>
        <v>800</v>
      </c>
      <c r="J466" s="2">
        <f>SUM(J442:J465)</f>
        <v>400</v>
      </c>
      <c r="K466" s="2">
        <f>SUM(K442:K465)</f>
        <v>400</v>
      </c>
      <c r="L466" s="2">
        <f>SUM(L442:L465)</f>
        <v>800</v>
      </c>
      <c r="M466" s="2">
        <f t="shared" ref="M466:U466" si="418">SUM(M442:M465)</f>
        <v>600</v>
      </c>
      <c r="N466" s="2">
        <f t="shared" si="418"/>
        <v>440</v>
      </c>
      <c r="O466" s="2">
        <f t="shared" ref="O466:P466" si="419">SUM(O442:O465)</f>
        <v>0</v>
      </c>
      <c r="P466" s="2">
        <f t="shared" si="419"/>
        <v>0</v>
      </c>
      <c r="Q466" s="2">
        <f t="shared" ref="Q466" si="420">SUM(Q442:Q465)</f>
        <v>0</v>
      </c>
      <c r="R466" s="2">
        <f t="shared" ref="R466" si="421">SUM(R442:R465)</f>
        <v>0</v>
      </c>
      <c r="S466" s="2">
        <f t="shared" ref="S466" si="422">SUM(S442:S465)</f>
        <v>0</v>
      </c>
      <c r="T466" s="2">
        <f t="shared" ref="T466" si="423">SUM(T442:T465)</f>
        <v>0</v>
      </c>
      <c r="U466" s="2">
        <f t="shared" si="418"/>
        <v>-192</v>
      </c>
      <c r="V466" s="2">
        <f>SUM(V442:V465)</f>
        <v>4642</v>
      </c>
      <c r="W466" s="10"/>
      <c r="X466" s="19">
        <f>SUM(X442:X465)</f>
        <v>-1437</v>
      </c>
      <c r="Y466" s="10"/>
      <c r="Z466" s="19">
        <f>SUM(Z442:Z465)</f>
        <v>2854</v>
      </c>
      <c r="AA466" s="19">
        <f>SUM(AA442:AA465)</f>
        <v>3168</v>
      </c>
      <c r="AB466" s="19">
        <f>SUM(AB442:AB465)</f>
        <v>6022</v>
      </c>
      <c r="AC466" s="19">
        <f>SUM(AC442:AC465)</f>
        <v>7459</v>
      </c>
      <c r="AE466" s="2" t="s">
        <v>43</v>
      </c>
      <c r="AF466" s="2">
        <f>SUM(AF442:AF465)</f>
        <v>1837</v>
      </c>
      <c r="AG466" s="2">
        <f t="shared" ref="AG466:AH466" si="424">SUM(AG442:AG465)</f>
        <v>1368</v>
      </c>
      <c r="AH466" s="2">
        <f t="shared" si="424"/>
        <v>3205</v>
      </c>
      <c r="AI466" s="92"/>
      <c r="AJ466" s="2">
        <f t="shared" ref="AJ466:AL466" si="425">SUM(AJ442:AJ465)</f>
        <v>400</v>
      </c>
      <c r="AK466" s="2">
        <f t="shared" si="425"/>
        <v>840</v>
      </c>
      <c r="AL466" s="2">
        <f t="shared" si="425"/>
        <v>154</v>
      </c>
      <c r="AM466" s="2">
        <f>SUM(AM442:AM465)</f>
        <v>800</v>
      </c>
      <c r="AN466" s="2">
        <f t="shared" ref="AN466:AO466" si="426">SUM(AN442:AN465)</f>
        <v>1200</v>
      </c>
      <c r="AO466" s="2">
        <f t="shared" si="426"/>
        <v>1200</v>
      </c>
      <c r="AP466" s="2">
        <f>SUM(AP442:AP465)</f>
        <v>600</v>
      </c>
      <c r="AQ466" s="2">
        <f t="shared" ref="AQ466:AY466" si="427">SUM(AQ442:AQ465)</f>
        <v>1320</v>
      </c>
      <c r="AR466" s="2">
        <f t="shared" si="427"/>
        <v>0</v>
      </c>
      <c r="AS466" s="2">
        <f t="shared" si="427"/>
        <v>0</v>
      </c>
      <c r="AT466" s="2">
        <f t="shared" si="427"/>
        <v>0</v>
      </c>
      <c r="AU466" s="2">
        <f t="shared" si="427"/>
        <v>0</v>
      </c>
      <c r="AV466" s="2">
        <f t="shared" si="427"/>
        <v>0</v>
      </c>
      <c r="AW466" s="2">
        <f t="shared" si="427"/>
        <v>0</v>
      </c>
      <c r="AX466" s="2">
        <f t="shared" si="427"/>
        <v>0</v>
      </c>
      <c r="AY466" s="2">
        <f t="shared" si="427"/>
        <v>-192</v>
      </c>
      <c r="AZ466" s="2">
        <f>SUM(AZ442:AZ465)</f>
        <v>6322</v>
      </c>
      <c r="BA466" s="10"/>
      <c r="BB466" s="19">
        <f>SUM(BB442:BB465)</f>
        <v>-3117</v>
      </c>
      <c r="BC466" s="10"/>
      <c r="BD466" s="19">
        <f>SUM(BD442:BD465)</f>
        <v>2854</v>
      </c>
      <c r="BE466" s="19">
        <f>SUM(BE442:BE465)</f>
        <v>2688</v>
      </c>
      <c r="BF466" s="19">
        <f>SUM(BF442:BF465)</f>
        <v>5542</v>
      </c>
      <c r="BG466" s="19">
        <f>SUM(BG442:BG465)</f>
        <v>8659</v>
      </c>
    </row>
    <row r="467" spans="1:59" x14ac:dyDescent="0.3">
      <c r="A467" s="2" t="s">
        <v>44</v>
      </c>
      <c r="B467" s="2">
        <f>B466*(31-$AN439)</f>
        <v>47762</v>
      </c>
      <c r="C467" s="2">
        <f t="shared" ref="C467:D467" si="428">C466*(31-$AN439)</f>
        <v>35568</v>
      </c>
      <c r="D467" s="2">
        <f t="shared" si="428"/>
        <v>83330</v>
      </c>
      <c r="E467" s="328">
        <f>B467+AF467</f>
        <v>56947</v>
      </c>
      <c r="H467" s="124">
        <f>'Hoover with 30 MW Solar'!M44</f>
        <v>154.13504980645149</v>
      </c>
      <c r="I467" s="479" t="s">
        <v>470</v>
      </c>
      <c r="V467" s="2">
        <f>V466*31</f>
        <v>143902</v>
      </c>
      <c r="W467" s="35" t="s">
        <v>153</v>
      </c>
      <c r="X467" s="87">
        <f>-SUMIF(X442:X465,"&lt;0")</f>
        <v>2302</v>
      </c>
      <c r="Y467" s="92">
        <f>X467*(31-AN439)</f>
        <v>59852</v>
      </c>
      <c r="Z467" s="92" t="s">
        <v>217</v>
      </c>
      <c r="AE467" s="2" t="s">
        <v>44</v>
      </c>
      <c r="AF467" s="2">
        <f>AF466*$AN439</f>
        <v>9185</v>
      </c>
      <c r="AG467" s="2">
        <f t="shared" ref="AG467:AH467" si="429">AG466*$AN439</f>
        <v>6840</v>
      </c>
      <c r="AH467" s="2">
        <f t="shared" si="429"/>
        <v>16025</v>
      </c>
      <c r="AI467" s="92"/>
      <c r="AJ467" s="92"/>
      <c r="AK467" s="92"/>
      <c r="AL467" s="124">
        <f>H467</f>
        <v>154.13504980645149</v>
      </c>
      <c r="AM467" s="2"/>
      <c r="AN467" s="2"/>
      <c r="AO467" s="2"/>
      <c r="AP467" s="2"/>
      <c r="AQ467" s="92"/>
      <c r="AR467" s="92"/>
      <c r="AS467" s="92"/>
      <c r="AT467" s="92"/>
      <c r="AU467" s="92"/>
      <c r="AV467" s="92"/>
      <c r="AW467" s="92"/>
      <c r="AX467" s="92"/>
      <c r="AY467" s="92"/>
      <c r="AZ467" s="2"/>
      <c r="BA467" s="35" t="s">
        <v>216</v>
      </c>
      <c r="BB467" s="87">
        <f>-SUMIF(BB442:BB465,"&lt;0")</f>
        <v>3457</v>
      </c>
      <c r="BC467" s="92">
        <f>BB467*AN439</f>
        <v>17285</v>
      </c>
      <c r="BD467" s="92" t="s">
        <v>217</v>
      </c>
      <c r="BE467" s="92"/>
      <c r="BF467" s="92"/>
      <c r="BG467" s="92"/>
    </row>
    <row r="468" spans="1:59" x14ac:dyDescent="0.3">
      <c r="A468" s="2" t="s">
        <v>45</v>
      </c>
      <c r="B468" s="20">
        <f>ROUND(B466/48.35,0)</f>
        <v>38</v>
      </c>
      <c r="C468" s="294">
        <f>((B468*(31-AN439)+AF468*AN439)/31)</f>
        <v>38</v>
      </c>
      <c r="D468" s="294">
        <f>C468-Load!O35</f>
        <v>-2.7599132984827222</v>
      </c>
      <c r="F468" s="21">
        <v>24.99</v>
      </c>
      <c r="G468" s="21">
        <f>D496</f>
        <v>53.175543750000003</v>
      </c>
      <c r="H468" s="98">
        <f>$F$479</f>
        <v>43.87</v>
      </c>
      <c r="I468" s="21">
        <v>33</v>
      </c>
      <c r="J468" s="21">
        <v>23.75</v>
      </c>
      <c r="K468" s="21">
        <v>23.9</v>
      </c>
      <c r="L468" s="21">
        <v>26.5</v>
      </c>
      <c r="M468" s="21">
        <v>25.5</v>
      </c>
      <c r="N468" s="21">
        <v>25.35</v>
      </c>
      <c r="O468" s="21"/>
      <c r="P468" s="21"/>
      <c r="Q468" s="21"/>
      <c r="R468" s="21"/>
      <c r="S468" s="21"/>
      <c r="T468" s="21"/>
      <c r="U468" s="21"/>
      <c r="X468" s="11">
        <f>SUM(X464:X465,X442:X447)</f>
        <v>-872</v>
      </c>
      <c r="Y468" s="92">
        <f>Y467+BC467</f>
        <v>77137</v>
      </c>
      <c r="Z468" s="92" t="s">
        <v>236</v>
      </c>
      <c r="AA468" s="92"/>
      <c r="AE468" s="2" t="s">
        <v>45</v>
      </c>
      <c r="AF468" s="20">
        <f>ROUND(AF466/48.35,0)</f>
        <v>38</v>
      </c>
      <c r="AG468" s="92"/>
      <c r="AH468" s="92"/>
      <c r="AI468" s="92"/>
      <c r="AJ468" s="21"/>
      <c r="AK468" s="21"/>
      <c r="AL468" s="21"/>
      <c r="AM468" s="21">
        <v>33</v>
      </c>
      <c r="AN468" s="21">
        <v>23.75</v>
      </c>
      <c r="AO468" s="21">
        <v>23.9</v>
      </c>
      <c r="AP468" s="21">
        <v>25.5</v>
      </c>
      <c r="AQ468" s="21">
        <v>25.35</v>
      </c>
      <c r="AR468" s="313"/>
      <c r="AS468" s="313"/>
      <c r="AT468" s="313"/>
      <c r="AU468" s="313"/>
      <c r="AV468" s="313"/>
      <c r="AW468" s="313"/>
      <c r="AX468" s="313"/>
      <c r="AY468" s="21">
        <f>AM468</f>
        <v>33</v>
      </c>
      <c r="AZ468" s="92"/>
      <c r="BA468" s="92"/>
      <c r="BB468" s="11">
        <f>SUM(BB464:BB465,BB442:BB447)</f>
        <v>-872</v>
      </c>
      <c r="BC468" s="92"/>
      <c r="BD468" s="92"/>
      <c r="BE468" s="92"/>
      <c r="BF468" s="92"/>
      <c r="BG468" s="92"/>
    </row>
    <row r="469" spans="1:59" x14ac:dyDescent="0.3">
      <c r="A469" s="2" t="s">
        <v>62</v>
      </c>
      <c r="B469" s="2">
        <f>SUM(B448:B463)</f>
        <v>1445</v>
      </c>
      <c r="C469" s="2">
        <f>SUM(C448:C463)</f>
        <v>912</v>
      </c>
      <c r="F469" s="40">
        <f>'Hoover with 30 MW Solar'!M30</f>
        <v>4705.1865439999974</v>
      </c>
      <c r="G469" s="40">
        <f>G466*31</f>
        <v>26040</v>
      </c>
      <c r="H469" s="40">
        <f>'Hoover with 30 MW Solar'!M31</f>
        <v>6521</v>
      </c>
      <c r="I469" s="40">
        <f>I466*(31-$AN439)</f>
        <v>20800</v>
      </c>
      <c r="J469" s="40">
        <f t="shared" ref="J469:U469" si="430">J466*(31-$AN439)</f>
        <v>10400</v>
      </c>
      <c r="K469" s="40">
        <f t="shared" si="430"/>
        <v>10400</v>
      </c>
      <c r="L469" s="40">
        <f t="shared" si="430"/>
        <v>20800</v>
      </c>
      <c r="M469" s="40">
        <f t="shared" si="430"/>
        <v>15600</v>
      </c>
      <c r="N469" s="40">
        <f t="shared" si="430"/>
        <v>11440</v>
      </c>
      <c r="O469" s="40">
        <f t="shared" si="430"/>
        <v>0</v>
      </c>
      <c r="P469" s="40">
        <f t="shared" si="430"/>
        <v>0</v>
      </c>
      <c r="Q469" s="40">
        <f t="shared" si="430"/>
        <v>0</v>
      </c>
      <c r="R469" s="40">
        <f t="shared" si="430"/>
        <v>0</v>
      </c>
      <c r="S469" s="40">
        <f t="shared" si="430"/>
        <v>0</v>
      </c>
      <c r="T469" s="40">
        <f t="shared" si="430"/>
        <v>0</v>
      </c>
      <c r="U469" s="40">
        <f t="shared" si="430"/>
        <v>-4992</v>
      </c>
      <c r="X469" s="13">
        <f>SUM(X448:X463)</f>
        <v>-565</v>
      </c>
      <c r="AE469" s="2" t="s">
        <v>62</v>
      </c>
      <c r="AF469" s="2">
        <f>SUM(AF448:AF463)</f>
        <v>1445</v>
      </c>
      <c r="AG469" s="2">
        <f>SUM(AG448:AG463)</f>
        <v>912</v>
      </c>
      <c r="AH469" s="92"/>
      <c r="AI469" s="92"/>
      <c r="AJ469" s="22"/>
      <c r="AK469" s="22"/>
      <c r="AL469" s="22"/>
      <c r="AM469" s="22">
        <f>AM466*$AN439</f>
        <v>4000</v>
      </c>
      <c r="AN469" s="22">
        <f t="shared" ref="AN469:AY469" si="431">AN466*$AN439</f>
        <v>6000</v>
      </c>
      <c r="AO469" s="22">
        <f t="shared" si="431"/>
        <v>6000</v>
      </c>
      <c r="AP469" s="22">
        <f t="shared" si="431"/>
        <v>3000</v>
      </c>
      <c r="AQ469" s="22">
        <f t="shared" si="431"/>
        <v>6600</v>
      </c>
      <c r="AR469" s="22">
        <f t="shared" si="431"/>
        <v>0</v>
      </c>
      <c r="AS469" s="22">
        <f t="shared" si="431"/>
        <v>0</v>
      </c>
      <c r="AT469" s="22">
        <f t="shared" si="431"/>
        <v>0</v>
      </c>
      <c r="AU469" s="22">
        <f t="shared" si="431"/>
        <v>0</v>
      </c>
      <c r="AV469" s="22">
        <f t="shared" si="431"/>
        <v>0</v>
      </c>
      <c r="AW469" s="22">
        <f t="shared" si="431"/>
        <v>0</v>
      </c>
      <c r="AX469" s="22">
        <f t="shared" si="431"/>
        <v>0</v>
      </c>
      <c r="AY469" s="22">
        <f t="shared" si="431"/>
        <v>-960</v>
      </c>
      <c r="AZ469" s="92"/>
      <c r="BA469" s="92"/>
      <c r="BB469" s="13">
        <f>SUM(BB448:BB463)</f>
        <v>-2245</v>
      </c>
      <c r="BC469" s="92"/>
      <c r="BD469" s="92"/>
      <c r="BE469" s="92"/>
      <c r="BF469" s="92"/>
      <c r="BG469" s="92"/>
    </row>
    <row r="470" spans="1:59" x14ac:dyDescent="0.3">
      <c r="A470" s="2" t="s">
        <v>63</v>
      </c>
      <c r="B470" s="2">
        <f>SUM(B464:B465,B442:B447)</f>
        <v>392</v>
      </c>
      <c r="C470" s="2">
        <f>SUM(C464:C465,C442:C447)</f>
        <v>456</v>
      </c>
      <c r="D470" s="24"/>
      <c r="E470" s="24"/>
      <c r="F470" s="26">
        <f t="shared" ref="F470" si="432">F469*F468</f>
        <v>117582.61173455993</v>
      </c>
      <c r="G470" s="26">
        <f t="shared" ref="G470" si="433">G469*G468</f>
        <v>1384691.15925</v>
      </c>
      <c r="H470" s="26">
        <f t="shared" ref="H470" si="434">H469*H468</f>
        <v>286076.26999999996</v>
      </c>
      <c r="I470" s="26">
        <f t="shared" ref="I470:U470" si="435">I469*I468</f>
        <v>686400</v>
      </c>
      <c r="J470" s="26">
        <f t="shared" si="435"/>
        <v>247000</v>
      </c>
      <c r="K470" s="26">
        <f t="shared" si="435"/>
        <v>248559.99999999997</v>
      </c>
      <c r="L470" s="26">
        <f t="shared" si="435"/>
        <v>551200</v>
      </c>
      <c r="M470" s="26">
        <f t="shared" si="435"/>
        <v>397800</v>
      </c>
      <c r="N470" s="26">
        <f t="shared" si="435"/>
        <v>290004</v>
      </c>
      <c r="O470" s="26">
        <f t="shared" si="435"/>
        <v>0</v>
      </c>
      <c r="P470" s="26">
        <f t="shared" si="435"/>
        <v>0</v>
      </c>
      <c r="Q470" s="26">
        <f t="shared" si="435"/>
        <v>0</v>
      </c>
      <c r="R470" s="26">
        <f t="shared" si="435"/>
        <v>0</v>
      </c>
      <c r="S470" s="26">
        <f t="shared" si="435"/>
        <v>0</v>
      </c>
      <c r="T470" s="26">
        <f t="shared" si="435"/>
        <v>0</v>
      </c>
      <c r="U470" s="26">
        <f t="shared" si="435"/>
        <v>0</v>
      </c>
      <c r="W470" s="24"/>
      <c r="X470" s="24"/>
      <c r="Y470" s="24"/>
      <c r="Z470" s="24"/>
      <c r="AA470" s="24"/>
      <c r="AB470" s="24"/>
      <c r="AC470" s="24"/>
      <c r="AE470" s="2" t="s">
        <v>63</v>
      </c>
      <c r="AF470" s="2">
        <f>SUM(AF464:AF465,AF442:AF447)</f>
        <v>392</v>
      </c>
      <c r="AG470" s="2">
        <f>SUM(AG464:AG465,AG442:AG447)</f>
        <v>456</v>
      </c>
      <c r="AH470" s="24"/>
      <c r="AI470" s="24"/>
      <c r="AJ470" s="25"/>
      <c r="AK470" s="25"/>
      <c r="AL470" s="25"/>
      <c r="AM470" s="25">
        <f>AM469*AM468</f>
        <v>132000</v>
      </c>
      <c r="AN470" s="25">
        <f t="shared" ref="AN470:AY470" si="436">AN469*AN468</f>
        <v>142500</v>
      </c>
      <c r="AO470" s="25">
        <f t="shared" si="436"/>
        <v>143400</v>
      </c>
      <c r="AP470" s="25">
        <f t="shared" si="436"/>
        <v>76500</v>
      </c>
      <c r="AQ470" s="25">
        <f t="shared" si="436"/>
        <v>167310</v>
      </c>
      <c r="AR470" s="25">
        <f t="shared" si="436"/>
        <v>0</v>
      </c>
      <c r="AS470" s="25">
        <f t="shared" si="436"/>
        <v>0</v>
      </c>
      <c r="AT470" s="25">
        <f t="shared" si="436"/>
        <v>0</v>
      </c>
      <c r="AU470" s="25">
        <f t="shared" si="436"/>
        <v>0</v>
      </c>
      <c r="AV470" s="25">
        <f t="shared" si="436"/>
        <v>0</v>
      </c>
      <c r="AW470" s="25">
        <f t="shared" si="436"/>
        <v>0</v>
      </c>
      <c r="AX470" s="25">
        <f t="shared" si="436"/>
        <v>0</v>
      </c>
      <c r="AY470" s="25">
        <f t="shared" si="436"/>
        <v>-31680</v>
      </c>
      <c r="AZ470" s="24"/>
      <c r="BA470" s="24"/>
      <c r="BB470" s="24"/>
      <c r="BC470" s="24"/>
      <c r="BD470" s="24"/>
      <c r="BE470" s="24"/>
      <c r="BF470" s="24"/>
      <c r="BG470" s="24"/>
    </row>
    <row r="471" spans="1:59" x14ac:dyDescent="0.3">
      <c r="A471" s="23"/>
      <c r="B471" s="23"/>
      <c r="C471" s="35" t="s">
        <v>221</v>
      </c>
      <c r="D471" s="117">
        <f>D467+AH467</f>
        <v>99355</v>
      </c>
      <c r="E471" s="23"/>
      <c r="I471" s="116" t="s">
        <v>222</v>
      </c>
      <c r="J471" s="25">
        <f>SUM(F470:T470)+SUM(AM470:AX470)</f>
        <v>4871024.0409845598</v>
      </c>
      <c r="K471" s="23"/>
      <c r="L471" s="92"/>
      <c r="M471" s="92"/>
      <c r="W471" s="23"/>
      <c r="X471" s="11">
        <f>X468*(31-AN439)</f>
        <v>-22672</v>
      </c>
      <c r="Y471" s="23"/>
      <c r="Z471" s="23"/>
      <c r="AA471" s="23"/>
      <c r="AB471" s="23"/>
      <c r="AC471" s="23"/>
      <c r="AE471" s="23"/>
      <c r="AF471" s="23"/>
      <c r="AG471" s="23"/>
      <c r="AH471" s="23"/>
      <c r="AI471" s="23"/>
      <c r="AJ471" s="23"/>
      <c r="AK471" s="23"/>
      <c r="AL471" s="23"/>
      <c r="AM471" s="23"/>
      <c r="AN471" s="25"/>
      <c r="AO471" s="23"/>
      <c r="AP471" s="92"/>
      <c r="AQ471" s="92"/>
      <c r="AR471" s="92"/>
      <c r="AS471" s="92"/>
      <c r="AT471" s="92"/>
      <c r="AU471" s="92"/>
      <c r="AV471" s="92"/>
      <c r="AW471" s="92"/>
      <c r="AX471" s="92"/>
      <c r="AY471" s="92"/>
      <c r="AZ471" s="92"/>
      <c r="BA471" s="23"/>
      <c r="BB471" s="11">
        <f>BB468*AN439</f>
        <v>-4360</v>
      </c>
      <c r="BC471" s="23"/>
      <c r="BD471" s="23"/>
      <c r="BE471" s="23"/>
      <c r="BF471" s="23"/>
      <c r="BG471" s="23"/>
    </row>
    <row r="472" spans="1:59" x14ac:dyDescent="0.3">
      <c r="A472" s="37"/>
      <c r="B472" s="37"/>
      <c r="C472" s="38" t="s">
        <v>131</v>
      </c>
      <c r="D472" s="36">
        <f>D467+AH467-Load!S19</f>
        <v>-6537.8991602998431</v>
      </c>
      <c r="F472" s="94" t="s">
        <v>166</v>
      </c>
      <c r="G472" s="94" t="s">
        <v>168</v>
      </c>
      <c r="H472" s="94" t="s">
        <v>167</v>
      </c>
      <c r="I472" s="23" t="s">
        <v>169</v>
      </c>
      <c r="J472" s="22">
        <f>SUM(F469:T469)+SUM(AM469:AX469)</f>
        <v>152306.186544</v>
      </c>
      <c r="K472" s="39">
        <f>J472/D471</f>
        <v>1.5329493889990438</v>
      </c>
      <c r="L472" s="92" t="s">
        <v>223</v>
      </c>
      <c r="M472" s="92"/>
      <c r="X472" s="13">
        <f>X469*(31-AN439)</f>
        <v>-14690</v>
      </c>
      <c r="AE472" s="92"/>
      <c r="AF472" s="92"/>
      <c r="AG472" s="35"/>
      <c r="AH472" s="36"/>
      <c r="AI472" s="92"/>
      <c r="AJ472" s="92"/>
      <c r="AK472" s="92"/>
      <c r="AL472" s="92"/>
      <c r="AM472" s="23"/>
      <c r="AN472" s="22"/>
      <c r="AO472" s="39"/>
      <c r="AP472" s="92"/>
      <c r="AQ472" s="92"/>
      <c r="AR472" s="92"/>
      <c r="AS472" s="92"/>
      <c r="AT472" s="92"/>
      <c r="AU472" s="92"/>
      <c r="AV472" s="92"/>
      <c r="AW472" s="92"/>
      <c r="AX472" s="92"/>
      <c r="AY472" s="92"/>
      <c r="AZ472" s="92"/>
      <c r="BA472" s="92"/>
      <c r="BB472" s="13">
        <f>BB469*AN439</f>
        <v>-11225</v>
      </c>
      <c r="BC472" s="92"/>
      <c r="BD472" s="92"/>
      <c r="BE472" s="92"/>
      <c r="BF472" s="92"/>
      <c r="BG472" s="92"/>
    </row>
    <row r="473" spans="1:59" ht="15" thickBot="1" x14ac:dyDescent="0.35">
      <c r="A473" s="313"/>
      <c r="B473" s="313"/>
      <c r="C473" s="35" t="s">
        <v>383</v>
      </c>
      <c r="D473" s="49">
        <f>C468*31*50.6</f>
        <v>59606.8</v>
      </c>
      <c r="F473" s="94" t="s">
        <v>93</v>
      </c>
      <c r="G473" s="94" t="s">
        <v>93</v>
      </c>
      <c r="H473" s="94" t="s">
        <v>93</v>
      </c>
      <c r="I473" s="23" t="s">
        <v>47</v>
      </c>
      <c r="J473" s="21">
        <f>J471/J472</f>
        <v>31.98178715857587</v>
      </c>
      <c r="L473" s="92"/>
      <c r="M473" s="92" t="s">
        <v>100</v>
      </c>
      <c r="X473" s="37">
        <f>SUM(X471:X472)+Y467+BB473</f>
        <v>24190</v>
      </c>
      <c r="Y473" t="s">
        <v>159</v>
      </c>
      <c r="AE473" s="23"/>
      <c r="AF473" s="92"/>
      <c r="AG473" s="92"/>
      <c r="AH473" s="92"/>
      <c r="AI473" s="92"/>
      <c r="AJ473" s="92"/>
      <c r="AK473" s="92"/>
      <c r="AL473" s="92"/>
      <c r="AM473" s="23"/>
      <c r="AN473" s="21"/>
      <c r="AO473" s="92"/>
      <c r="AP473" s="92"/>
      <c r="AQ473" s="92"/>
      <c r="AR473" s="92"/>
      <c r="AS473" s="92"/>
      <c r="AT473" s="92"/>
      <c r="AU473" s="92"/>
      <c r="AV473" s="92"/>
      <c r="AW473" s="92"/>
      <c r="AX473" s="92"/>
      <c r="AY473" s="92"/>
      <c r="AZ473" s="92"/>
      <c r="BA473" s="92"/>
      <c r="BB473" s="37">
        <f>SUM(BB471:BB472)+BC467</f>
        <v>1700</v>
      </c>
      <c r="BC473" s="92" t="s">
        <v>218</v>
      </c>
      <c r="BD473" s="92"/>
      <c r="BE473" s="92"/>
      <c r="BF473" s="92"/>
      <c r="BG473" s="92"/>
    </row>
    <row r="474" spans="1:59" x14ac:dyDescent="0.3">
      <c r="A474" s="313"/>
      <c r="B474" s="313"/>
      <c r="C474" s="35" t="s">
        <v>384</v>
      </c>
      <c r="D474" s="36">
        <f>D473-Load!O33</f>
        <v>-4329.1999999999971</v>
      </c>
      <c r="F474" s="95">
        <f>F476/F475</f>
        <v>24.99</v>
      </c>
      <c r="G474" s="95">
        <f t="shared" ref="G474:H474" si="437">G476/G475</f>
        <v>48.452830428082201</v>
      </c>
      <c r="H474" s="95">
        <f t="shared" si="437"/>
        <v>43.87</v>
      </c>
      <c r="I474" s="67" t="s">
        <v>170</v>
      </c>
      <c r="J474" s="68">
        <f>SUM(I469:T469)+SUM(AM469:AX469)</f>
        <v>115040</v>
      </c>
      <c r="L474" s="92" t="s">
        <v>233</v>
      </c>
      <c r="M474" s="31">
        <f>SUM(I469:N469)+SUM(AM469:AR469)</f>
        <v>115040</v>
      </c>
      <c r="X474" s="93">
        <f>(SUM(X471:X472)+Y467)*Y474+BB475</f>
        <v>967600</v>
      </c>
      <c r="Y474" s="57">
        <v>40</v>
      </c>
      <c r="Z474" t="s">
        <v>160</v>
      </c>
      <c r="AE474" s="23"/>
      <c r="AF474" s="92"/>
      <c r="AG474" s="92"/>
      <c r="AH474" s="92"/>
      <c r="AI474" s="92"/>
      <c r="AJ474" s="92"/>
      <c r="AK474" s="92"/>
      <c r="AL474" s="92"/>
      <c r="AM474" s="92"/>
      <c r="AN474" s="92"/>
      <c r="AO474" s="92"/>
      <c r="AP474" s="92"/>
      <c r="AQ474" s="92"/>
      <c r="AR474" s="92"/>
      <c r="AS474" s="92"/>
      <c r="AT474" s="92"/>
      <c r="AU474" s="92"/>
      <c r="AV474" s="92"/>
      <c r="AW474" s="92"/>
      <c r="AX474" s="92"/>
      <c r="AY474" s="92"/>
      <c r="AZ474" s="92"/>
      <c r="BA474" s="92"/>
      <c r="BB474" s="93">
        <f>BB473*BC474</f>
        <v>68000</v>
      </c>
      <c r="BC474" s="93">
        <f>Y474</f>
        <v>40</v>
      </c>
      <c r="BD474" s="92" t="s">
        <v>160</v>
      </c>
      <c r="BE474" s="92"/>
      <c r="BF474" s="92"/>
      <c r="BG474" s="92"/>
    </row>
    <row r="475" spans="1:59" x14ac:dyDescent="0.3">
      <c r="A475" s="313"/>
      <c r="B475" s="313"/>
      <c r="C475" s="35" t="s">
        <v>389</v>
      </c>
      <c r="D475" s="36">
        <f t="shared" ref="D475:D478" si="438">SUM(D471,D430,D391,D352,D313,D274,D235,D194,D154,D114,D74,D34)</f>
        <v>1845528.6568489999</v>
      </c>
      <c r="F475" s="96">
        <f t="shared" ref="F475:H476" si="439">SUM(F469,F428,F389,F350,F311,F272,F233,F192,F152,F112,F72,F32)</f>
        <v>89413.111449999982</v>
      </c>
      <c r="G475" s="96">
        <f t="shared" si="439"/>
        <v>306600</v>
      </c>
      <c r="H475" s="96">
        <f t="shared" si="439"/>
        <v>127652</v>
      </c>
      <c r="I475" s="69" t="s">
        <v>18</v>
      </c>
      <c r="J475" s="70">
        <f>SUM(I470:T470)+SUM(AM470:AX470)</f>
        <v>3082674</v>
      </c>
      <c r="L475" s="92" t="s">
        <v>235</v>
      </c>
      <c r="M475" s="31">
        <f>SUM(O469:T469)+SUM(AS469:AX469)</f>
        <v>0</v>
      </c>
      <c r="X475" s="79">
        <f>X474+J475</f>
        <v>4050274</v>
      </c>
      <c r="Y475" t="s">
        <v>161</v>
      </c>
      <c r="AE475" s="23"/>
      <c r="AF475" s="92"/>
      <c r="AG475" s="92"/>
      <c r="AH475" s="92"/>
      <c r="AI475" s="92"/>
      <c r="AJ475" s="92"/>
      <c r="AK475" s="92"/>
      <c r="AL475" s="92"/>
      <c r="AM475" s="92"/>
      <c r="AN475" s="92"/>
      <c r="AO475" s="92"/>
      <c r="AP475" s="92"/>
      <c r="AQ475" s="92"/>
      <c r="AR475" s="92"/>
      <c r="AS475" s="92"/>
      <c r="AT475" s="92"/>
      <c r="AU475" s="92"/>
      <c r="AV475" s="92"/>
      <c r="AW475" s="92"/>
      <c r="AX475" s="92"/>
      <c r="AY475" s="92"/>
      <c r="AZ475" s="92"/>
      <c r="BA475" s="92"/>
      <c r="BB475" s="79">
        <f>BB474</f>
        <v>68000</v>
      </c>
      <c r="BC475" s="92" t="s">
        <v>219</v>
      </c>
      <c r="BD475" s="92"/>
      <c r="BE475" s="92"/>
      <c r="BF475" s="92"/>
      <c r="BG475" s="92"/>
    </row>
    <row r="476" spans="1:59" ht="15" thickBot="1" x14ac:dyDescent="0.35">
      <c r="A476" s="37"/>
      <c r="B476" s="37"/>
      <c r="C476" s="38" t="s">
        <v>132</v>
      </c>
      <c r="D476" s="36">
        <f>SUM(D472,D431,D392,D353,D314,D275,D236,D195,D155,D115,D75,D35)</f>
        <v>-2609.7043968434737</v>
      </c>
      <c r="E476" s="58"/>
      <c r="F476" s="97">
        <f t="shared" si="439"/>
        <v>2234433.6551354993</v>
      </c>
      <c r="G476" s="97">
        <f t="shared" si="439"/>
        <v>14855637.809250003</v>
      </c>
      <c r="H476" s="97">
        <f t="shared" si="439"/>
        <v>5600093.2399999993</v>
      </c>
      <c r="I476" s="71" t="s">
        <v>156</v>
      </c>
      <c r="J476" s="72">
        <f>J475/J474</f>
        <v>26.796540333796941</v>
      </c>
      <c r="W476" s="38" t="s">
        <v>193</v>
      </c>
      <c r="X476" s="80">
        <f>J474+X473</f>
        <v>139230</v>
      </c>
      <c r="Y476" s="79">
        <f>X475/X476</f>
        <v>29.090526466997055</v>
      </c>
    </row>
    <row r="477" spans="1:59" ht="15" thickBot="1" x14ac:dyDescent="0.35">
      <c r="A477" s="313"/>
      <c r="B477" s="313"/>
      <c r="C477" s="35" t="s">
        <v>385</v>
      </c>
      <c r="D477" s="36">
        <f t="shared" si="438"/>
        <v>1020754</v>
      </c>
      <c r="I477" s="23"/>
      <c r="J477" s="21"/>
      <c r="L477" t="s">
        <v>370</v>
      </c>
    </row>
    <row r="478" spans="1:59" x14ac:dyDescent="0.3">
      <c r="A478" s="313"/>
      <c r="B478" s="313"/>
      <c r="C478" s="35" t="s">
        <v>386</v>
      </c>
      <c r="D478" s="36">
        <f t="shared" si="438"/>
        <v>141.0000000000291</v>
      </c>
      <c r="F478" t="s">
        <v>429</v>
      </c>
      <c r="I478" s="67" t="s">
        <v>157</v>
      </c>
      <c r="J478" s="68">
        <f>SUM(J474,J433,J394,J355,J316,J277,J238,J197,J157,J117,J77,J37)</f>
        <v>1061760</v>
      </c>
      <c r="L478" s="67" t="s">
        <v>157</v>
      </c>
      <c r="M478" s="68">
        <f>J478-U478</f>
        <v>1061760</v>
      </c>
      <c r="U478" s="81"/>
      <c r="X478" s="80">
        <f>SUM(X473,X432,X393,X354,X315,X276,X237,X196,X156,X116,X76,X36)</f>
        <v>677971</v>
      </c>
      <c r="Y478" t="s">
        <v>159</v>
      </c>
      <c r="AD478" s="120"/>
    </row>
    <row r="479" spans="1:59" x14ac:dyDescent="0.3">
      <c r="F479" s="79">
        <v>43.87</v>
      </c>
      <c r="I479" s="69" t="s">
        <v>18</v>
      </c>
      <c r="J479" s="70">
        <f>SUM(J475,J434,J395,J356,J317,J278,J239,J198,J158,J118,J78,J38)</f>
        <v>30143607.199999999</v>
      </c>
      <c r="L479" s="69" t="s">
        <v>18</v>
      </c>
      <c r="M479" s="70">
        <f>J479-U479</f>
        <v>30143607.199999999</v>
      </c>
      <c r="U479" s="58"/>
      <c r="X479" s="61">
        <f>SUM(X474,X433,X394,X355,X316,X277,X238,X197,X157,X117,X77,X37)</f>
        <v>28162930</v>
      </c>
      <c r="Y479" s="79">
        <f>X479/X478</f>
        <v>41.540021623343769</v>
      </c>
      <c r="Z479" t="s">
        <v>160</v>
      </c>
      <c r="AD479" s="21"/>
      <c r="AE479" s="58"/>
    </row>
    <row r="480" spans="1:59" ht="15" thickBot="1" x14ac:dyDescent="0.35">
      <c r="A480" s="37"/>
      <c r="B480" s="37"/>
      <c r="C480" s="38"/>
      <c r="D480" s="36"/>
      <c r="H480" s="111"/>
      <c r="I480" s="110" t="s">
        <v>158</v>
      </c>
      <c r="J480" s="72">
        <f>J479/J478</f>
        <v>28.390226793248946</v>
      </c>
      <c r="L480" s="110" t="s">
        <v>158</v>
      </c>
      <c r="M480" s="72">
        <f>M479/M478</f>
        <v>28.390226793248946</v>
      </c>
    </row>
    <row r="481" spans="1:37" ht="15" thickBot="1" x14ac:dyDescent="0.35">
      <c r="A481" s="37"/>
      <c r="B481" s="37"/>
      <c r="C481" s="38"/>
      <c r="D481" s="36"/>
      <c r="L481" s="23"/>
      <c r="M481" s="21"/>
      <c r="X481" s="80">
        <f>J478+X478</f>
        <v>1739731</v>
      </c>
      <c r="Y481" t="s">
        <v>139</v>
      </c>
      <c r="AB481" s="80"/>
      <c r="AC481" s="37"/>
    </row>
    <row r="482" spans="1:37" x14ac:dyDescent="0.3">
      <c r="A482" s="37"/>
      <c r="B482" s="37"/>
      <c r="C482" s="38"/>
      <c r="D482" s="36"/>
      <c r="H482" s="218"/>
      <c r="I482" s="219" t="s">
        <v>335</v>
      </c>
      <c r="J482" s="220">
        <f>SUM(J34,J74,J114,J154,J194,J235,J274,J313,J352,J391,J430,J471)</f>
        <v>46447771.904385492</v>
      </c>
      <c r="X482" s="61">
        <f>X479+J479</f>
        <v>58306537.200000003</v>
      </c>
      <c r="Y482" t="s">
        <v>161</v>
      </c>
      <c r="AB482" s="61"/>
      <c r="AC482" s="37"/>
    </row>
    <row r="483" spans="1:37" x14ac:dyDescent="0.3">
      <c r="A483" s="37"/>
      <c r="B483" s="37"/>
      <c r="C483" s="38"/>
      <c r="D483" s="36"/>
      <c r="H483" s="69"/>
      <c r="I483" s="217" t="s">
        <v>334</v>
      </c>
      <c r="J483" s="221">
        <f>SUM(J35,J75,J115,J155,J195,J236,J275,J314,J353,J392,J431,J472)</f>
        <v>1558873.11145</v>
      </c>
      <c r="L483" s="23"/>
      <c r="Y483" s="79">
        <f>X482/X481</f>
        <v>33.514685431253454</v>
      </c>
      <c r="Z483" t="s">
        <v>160</v>
      </c>
      <c r="AB483" s="61"/>
      <c r="AC483" s="37"/>
    </row>
    <row r="484" spans="1:37" ht="15" thickBot="1" x14ac:dyDescent="0.35">
      <c r="A484" s="37"/>
      <c r="C484" s="59" t="s">
        <v>151</v>
      </c>
      <c r="D484" s="59" t="s">
        <v>152</v>
      </c>
      <c r="H484" s="71"/>
      <c r="I484" s="110" t="s">
        <v>156</v>
      </c>
      <c r="J484" s="72">
        <f>J482/J483</f>
        <v>29.795736139923328</v>
      </c>
      <c r="L484" s="23"/>
    </row>
    <row r="485" spans="1:37" x14ac:dyDescent="0.3">
      <c r="A485" s="37"/>
      <c r="B485" s="60">
        <v>44562</v>
      </c>
      <c r="C485" s="58">
        <v>5</v>
      </c>
      <c r="D485" s="61">
        <f t="shared" ref="D485:D496" si="440">C485*7.5*1.065+1.15+2.53+13.42</f>
        <v>57.037500000000001</v>
      </c>
      <c r="K485" s="332" t="s">
        <v>413</v>
      </c>
      <c r="L485" s="332" t="s">
        <v>414</v>
      </c>
      <c r="M485" s="21"/>
      <c r="N485" s="58"/>
      <c r="O485" s="58"/>
      <c r="P485" s="58"/>
      <c r="Q485" s="58"/>
      <c r="R485" s="58"/>
      <c r="S485" s="58"/>
      <c r="T485" s="58"/>
      <c r="X485" s="80"/>
    </row>
    <row r="486" spans="1:37" x14ac:dyDescent="0.3">
      <c r="B486" s="60">
        <v>44593</v>
      </c>
      <c r="C486" s="58">
        <v>5</v>
      </c>
      <c r="D486" s="61">
        <f t="shared" si="440"/>
        <v>57.037500000000001</v>
      </c>
      <c r="G486" t="s">
        <v>336</v>
      </c>
      <c r="H486" s="25">
        <f>J38+J78+J118</f>
        <v>12232564</v>
      </c>
      <c r="I486" s="98">
        <f>X37+X77+X117</f>
        <v>6029160</v>
      </c>
      <c r="J486" s="98"/>
      <c r="K486" s="98">
        <f>SUM(H486:J486)</f>
        <v>18261724</v>
      </c>
      <c r="L486" s="98">
        <f>K486-AI491-AI492-AI493</f>
        <v>12297649</v>
      </c>
      <c r="M486" s="21"/>
      <c r="X486" s="61"/>
      <c r="AC486" s="81"/>
      <c r="AD486" s="84"/>
    </row>
    <row r="487" spans="1:37" s="92" customFormat="1" x14ac:dyDescent="0.3">
      <c r="B487" s="60">
        <v>44621</v>
      </c>
      <c r="C487" s="58">
        <v>3.9664999999999999</v>
      </c>
      <c r="D487" s="61">
        <f t="shared" si="440"/>
        <v>48.782418750000005</v>
      </c>
      <c r="G487" s="216" t="s">
        <v>337</v>
      </c>
      <c r="H487" s="25">
        <f>J158+J198+J239</f>
        <v>4381132</v>
      </c>
      <c r="I487" s="25">
        <f>X157+X197+X238</f>
        <v>12502490</v>
      </c>
      <c r="J487" s="25"/>
      <c r="K487" s="98">
        <f t="shared" ref="K487:K489" si="441">SUM(H487:J487)</f>
        <v>16883622</v>
      </c>
      <c r="L487" s="98">
        <f>K487-AI494-AI495-AI496</f>
        <v>12441682</v>
      </c>
      <c r="M487" s="21"/>
      <c r="V487"/>
      <c r="W487"/>
      <c r="X487" s="37"/>
      <c r="Y487" s="61"/>
      <c r="Z487"/>
      <c r="AA487"/>
      <c r="AB487"/>
      <c r="AC487" s="83"/>
      <c r="AD487" s="85"/>
      <c r="AE487"/>
      <c r="AF487"/>
      <c r="AG487"/>
      <c r="AH487"/>
      <c r="AI487"/>
      <c r="AJ487" s="86"/>
      <c r="AK487" s="61"/>
    </row>
    <row r="488" spans="1:37" x14ac:dyDescent="0.3">
      <c r="B488" s="60">
        <v>44652</v>
      </c>
      <c r="C488" s="58">
        <v>3.1789999999999998</v>
      </c>
      <c r="D488" s="61">
        <f t="shared" si="440"/>
        <v>42.492262499999995</v>
      </c>
      <c r="G488" s="216" t="s">
        <v>338</v>
      </c>
      <c r="H488" s="25">
        <f>J278+J317+J356</f>
        <v>4375003.2</v>
      </c>
      <c r="I488" s="25">
        <f>X277+X316+X355</f>
        <v>6150480</v>
      </c>
      <c r="J488" s="25"/>
      <c r="K488" s="98">
        <f t="shared" si="441"/>
        <v>10525483.199999999</v>
      </c>
      <c r="L488" s="98">
        <f>K488-AI497-AI498-AI499</f>
        <v>-2697916.8000000007</v>
      </c>
      <c r="V488" s="92"/>
      <c r="AB488" s="37"/>
      <c r="AC488" s="80"/>
      <c r="AD488" s="86"/>
      <c r="AE488" s="61"/>
      <c r="AH488" s="37"/>
      <c r="AI488" s="80"/>
    </row>
    <row r="489" spans="1:37" x14ac:dyDescent="0.3">
      <c r="B489" s="60">
        <v>44682</v>
      </c>
      <c r="C489" s="58">
        <v>3.0660000000000003</v>
      </c>
      <c r="D489" s="61">
        <f t="shared" si="440"/>
        <v>41.589675</v>
      </c>
      <c r="G489" s="216" t="s">
        <v>339</v>
      </c>
      <c r="H489" s="25">
        <f>J395+J434+J475</f>
        <v>9154908</v>
      </c>
      <c r="I489" s="25">
        <f>+X394+X433+X474</f>
        <v>3480800</v>
      </c>
      <c r="J489" s="25"/>
      <c r="K489" s="98">
        <f t="shared" si="441"/>
        <v>12635708</v>
      </c>
      <c r="L489" s="98">
        <f>K489-AI500-AI501-AI502</f>
        <v>1143638</v>
      </c>
      <c r="W489" s="92"/>
      <c r="X489" s="92"/>
      <c r="Y489" s="92"/>
      <c r="Z489" s="92"/>
      <c r="AA489" s="92"/>
      <c r="AB489" s="92"/>
      <c r="AC489" s="92"/>
      <c r="AD489" s="92"/>
      <c r="AE489" s="92"/>
      <c r="AF489" s="92"/>
      <c r="AG489" s="92"/>
    </row>
    <row r="490" spans="1:37" x14ac:dyDescent="0.3">
      <c r="B490" s="60">
        <v>44713</v>
      </c>
      <c r="C490" s="61">
        <v>3.12</v>
      </c>
      <c r="D490" s="61">
        <f t="shared" si="440"/>
        <v>42.021000000000001</v>
      </c>
      <c r="E490" s="37" t="s">
        <v>378</v>
      </c>
      <c r="J490" s="98"/>
      <c r="K490" s="98">
        <f>SUM(K486:K489)</f>
        <v>58306537.200000003</v>
      </c>
      <c r="L490" s="98">
        <f>SUM(L486:L489)</f>
        <v>23185052.199999999</v>
      </c>
      <c r="W490" s="38" t="s">
        <v>204</v>
      </c>
      <c r="Y490" s="25">
        <f>SUM(J34,J74,J114,J154,J194,J235,J274,J313,J352,J391,J430,J471)</f>
        <v>46447771.904385492</v>
      </c>
      <c r="AB490" s="50" t="s">
        <v>371</v>
      </c>
      <c r="AC490" s="50" t="s">
        <v>154</v>
      </c>
      <c r="AD490" s="50" t="s">
        <v>464</v>
      </c>
      <c r="AE490" s="50" t="s">
        <v>155</v>
      </c>
      <c r="AF490" s="50" t="s">
        <v>465</v>
      </c>
      <c r="AG490" s="50" t="s">
        <v>467</v>
      </c>
      <c r="AH490" s="50" t="s">
        <v>466</v>
      </c>
      <c r="AI490" s="50" t="s">
        <v>468</v>
      </c>
      <c r="AJ490" s="50" t="s">
        <v>463</v>
      </c>
    </row>
    <row r="491" spans="1:37" x14ac:dyDescent="0.3">
      <c r="B491" s="60">
        <v>44743</v>
      </c>
      <c r="C491" s="61">
        <v>4.0389999999999997</v>
      </c>
      <c r="D491" s="61">
        <f t="shared" si="440"/>
        <v>49.361512499999996</v>
      </c>
      <c r="E491" s="37" t="s">
        <v>378</v>
      </c>
      <c r="X491" s="23" t="s">
        <v>46</v>
      </c>
      <c r="Y491" s="41">
        <f>SUM(J35,J75,J115,J155,J195,J236,J275,J314,J353,J392,J431,J472)</f>
        <v>1558873.11145</v>
      </c>
      <c r="Z491" s="39">
        <f>Y491/Load!S21</f>
        <v>0.84348290373625068</v>
      </c>
      <c r="AB491" s="53" t="s">
        <v>64</v>
      </c>
      <c r="AC491" s="63">
        <v>60</v>
      </c>
      <c r="AD491" s="53">
        <f>Y31</f>
        <v>51001</v>
      </c>
      <c r="AE491" s="82">
        <f t="shared" ref="AE491:AE502" si="442">AC491*AD491</f>
        <v>3060060</v>
      </c>
      <c r="AG491">
        <f>AD491+AF491</f>
        <v>51001</v>
      </c>
      <c r="AI491" s="63">
        <f>AE491+AH491</f>
        <v>3060060</v>
      </c>
      <c r="AJ491" s="82">
        <f>AI491/AG491</f>
        <v>60</v>
      </c>
    </row>
    <row r="492" spans="1:37" x14ac:dyDescent="0.3">
      <c r="B492" s="60">
        <v>44774</v>
      </c>
      <c r="C492" s="61">
        <v>4.0670000000000002</v>
      </c>
      <c r="D492" s="61">
        <f t="shared" si="440"/>
        <v>49.585162500000003</v>
      </c>
      <c r="E492" s="37" t="s">
        <v>378</v>
      </c>
      <c r="G492" s="313" t="s">
        <v>407</v>
      </c>
      <c r="H492" s="331">
        <f>J37+J77+J117</f>
        <v>412800</v>
      </c>
      <c r="I492" s="331">
        <f>X36+X76+X116</f>
        <v>160969</v>
      </c>
      <c r="J492" s="331"/>
      <c r="K492" s="331">
        <f>SUM(H492:J492)</f>
        <v>573769</v>
      </c>
      <c r="L492" s="331">
        <f>K492-AG491-AG492-AG493</f>
        <v>467929</v>
      </c>
      <c r="X492" s="23" t="s">
        <v>47</v>
      </c>
      <c r="Y492" s="21">
        <f>Y490/Y491</f>
        <v>29.795736139923328</v>
      </c>
      <c r="AB492" s="53" t="s">
        <v>65</v>
      </c>
      <c r="AC492" s="63">
        <v>55</v>
      </c>
      <c r="AD492" s="53">
        <f>Y71</f>
        <v>32413</v>
      </c>
      <c r="AE492" s="82">
        <f t="shared" si="442"/>
        <v>1782715</v>
      </c>
      <c r="AG492" s="313">
        <f t="shared" ref="AG492:AG502" si="443">AD492+AF492</f>
        <v>32413</v>
      </c>
      <c r="AI492" s="63">
        <f t="shared" ref="AI492:AI502" si="444">AE492+AH492</f>
        <v>1782715</v>
      </c>
      <c r="AJ492" s="82">
        <f t="shared" ref="AJ492:AJ502" si="445">AI492/AG492</f>
        <v>55</v>
      </c>
    </row>
    <row r="493" spans="1:37" x14ac:dyDescent="0.3">
      <c r="B493" s="60">
        <v>44805</v>
      </c>
      <c r="C493" s="61">
        <v>3.944</v>
      </c>
      <c r="D493" s="61">
        <f t="shared" si="440"/>
        <v>48.602699999999999</v>
      </c>
      <c r="E493" s="37" t="s">
        <v>378</v>
      </c>
      <c r="G493" s="313" t="s">
        <v>408</v>
      </c>
      <c r="H493" s="331">
        <f>J157+J197+J238</f>
        <v>187600</v>
      </c>
      <c r="I493" s="331">
        <f>X156+X196+X237</f>
        <v>342118</v>
      </c>
      <c r="J493" s="331"/>
      <c r="K493" s="331">
        <f t="shared" ref="K493:K495" si="446">SUM(H493:J493)</f>
        <v>529718</v>
      </c>
      <c r="L493" s="331">
        <f>K493-AG494-AG495-AG496</f>
        <v>490998</v>
      </c>
      <c r="AB493" t="s">
        <v>66</v>
      </c>
      <c r="AC493" s="63">
        <v>50</v>
      </c>
      <c r="AD493">
        <f>Y111</f>
        <v>22426</v>
      </c>
      <c r="AE493" s="63">
        <f t="shared" si="442"/>
        <v>1121300</v>
      </c>
      <c r="AG493" s="313">
        <f t="shared" si="443"/>
        <v>22426</v>
      </c>
      <c r="AI493" s="63">
        <f t="shared" si="444"/>
        <v>1121300</v>
      </c>
      <c r="AJ493" s="82">
        <f t="shared" si="445"/>
        <v>50</v>
      </c>
    </row>
    <row r="494" spans="1:37" x14ac:dyDescent="0.3">
      <c r="B494" s="60">
        <v>44835</v>
      </c>
      <c r="C494" s="58">
        <v>3.3315000000000001</v>
      </c>
      <c r="D494" s="61">
        <f t="shared" si="440"/>
        <v>43.710356250000004</v>
      </c>
      <c r="G494" s="313" t="s">
        <v>409</v>
      </c>
      <c r="H494" s="331">
        <f>J277+J316+J355</f>
        <v>119680</v>
      </c>
      <c r="I494" s="331">
        <f>X276+X315+X354</f>
        <v>87864</v>
      </c>
      <c r="J494" s="331"/>
      <c r="K494" s="331">
        <f t="shared" si="446"/>
        <v>207544</v>
      </c>
      <c r="L494" s="331">
        <f>K494-AG497-AG498-AG499</f>
        <v>147887</v>
      </c>
      <c r="W494" s="38" t="s">
        <v>165</v>
      </c>
      <c r="Y494" s="66">
        <f>Y490-AE503</f>
        <v>17712286.904385492</v>
      </c>
      <c r="AB494" t="s">
        <v>67</v>
      </c>
      <c r="AC494" s="63">
        <v>45</v>
      </c>
      <c r="AD494">
        <f>Y151</f>
        <v>5136</v>
      </c>
      <c r="AE494" s="63">
        <f t="shared" si="442"/>
        <v>231120</v>
      </c>
      <c r="AG494" s="313">
        <f t="shared" si="443"/>
        <v>5136</v>
      </c>
      <c r="AI494" s="63">
        <f t="shared" si="444"/>
        <v>231120</v>
      </c>
      <c r="AJ494" s="82">
        <f t="shared" si="445"/>
        <v>45</v>
      </c>
    </row>
    <row r="495" spans="1:37" x14ac:dyDescent="0.3">
      <c r="B495" s="60">
        <v>44866</v>
      </c>
      <c r="C495" s="58">
        <v>3.9279999999999999</v>
      </c>
      <c r="D495" s="61">
        <f t="shared" si="440"/>
        <v>48.474900000000005</v>
      </c>
      <c r="G495" s="313" t="s">
        <v>410</v>
      </c>
      <c r="H495" s="331">
        <f>J394+J433+J474</f>
        <v>341680</v>
      </c>
      <c r="I495" s="331">
        <f>+X393+X432+X473</f>
        <v>87020</v>
      </c>
      <c r="J495" s="331"/>
      <c r="K495" s="331">
        <f t="shared" si="446"/>
        <v>428700</v>
      </c>
      <c r="L495" s="331">
        <f>K495-AG500-AG501-AG502</f>
        <v>214286</v>
      </c>
      <c r="X495" s="23" t="s">
        <v>46</v>
      </c>
      <c r="Y495" s="41">
        <f>Y491-AD503</f>
        <v>1160842.11145</v>
      </c>
      <c r="Z495" s="39">
        <f>Y495/Load!S21</f>
        <v>0.62811428829791072</v>
      </c>
      <c r="AB495" t="s">
        <v>54</v>
      </c>
      <c r="AC495" s="63">
        <v>45</v>
      </c>
      <c r="AD495">
        <f>Y191</f>
        <v>4356</v>
      </c>
      <c r="AE495" s="63">
        <f t="shared" si="442"/>
        <v>196020</v>
      </c>
      <c r="AG495" s="313">
        <f t="shared" si="443"/>
        <v>4356</v>
      </c>
      <c r="AI495" s="63">
        <f t="shared" si="444"/>
        <v>196020</v>
      </c>
      <c r="AJ495" s="82">
        <f t="shared" si="445"/>
        <v>45</v>
      </c>
    </row>
    <row r="496" spans="1:37" x14ac:dyDescent="0.3">
      <c r="B496" s="60">
        <v>44896</v>
      </c>
      <c r="C496" s="58">
        <v>4.5164999999999997</v>
      </c>
      <c r="D496" s="61">
        <f t="shared" si="440"/>
        <v>53.175543750000003</v>
      </c>
      <c r="G496" s="313"/>
      <c r="H496" s="313"/>
      <c r="I496" s="331"/>
      <c r="J496" s="331"/>
      <c r="K496" s="331">
        <f>SUM(K492:K495)</f>
        <v>1739731</v>
      </c>
      <c r="L496" s="331">
        <f>SUM(L492:L495)</f>
        <v>1321100</v>
      </c>
      <c r="X496" s="23" t="s">
        <v>47</v>
      </c>
      <c r="Y496" s="21">
        <f>Y494/Y495</f>
        <v>15.258136080419408</v>
      </c>
      <c r="AB496" t="s">
        <v>55</v>
      </c>
      <c r="AC496" s="63">
        <v>100</v>
      </c>
      <c r="AD496" s="313">
        <f>Y232</f>
        <v>24028</v>
      </c>
      <c r="AE496" s="63">
        <f>(AC496*AD496)</f>
        <v>2402800</v>
      </c>
      <c r="AF496" s="313">
        <f>-S233</f>
        <v>5200</v>
      </c>
      <c r="AG496" s="313">
        <f t="shared" si="443"/>
        <v>29228</v>
      </c>
      <c r="AH496" s="295">
        <f>-S234</f>
        <v>1612000</v>
      </c>
      <c r="AI496" s="63">
        <f t="shared" si="444"/>
        <v>4014800</v>
      </c>
      <c r="AJ496" s="82">
        <f t="shared" si="445"/>
        <v>137.36143424113862</v>
      </c>
    </row>
    <row r="497" spans="1:41" x14ac:dyDescent="0.3">
      <c r="C497" s="214">
        <v>44529</v>
      </c>
      <c r="D497" s="61"/>
      <c r="X497" s="23"/>
      <c r="Y497" s="21"/>
      <c r="AB497" t="s">
        <v>56</v>
      </c>
      <c r="AC497" s="63">
        <v>200</v>
      </c>
      <c r="AD497">
        <f>Y271</f>
        <v>21195</v>
      </c>
      <c r="AE497" s="63">
        <f>AC497*AD497</f>
        <v>4239000</v>
      </c>
      <c r="AF497">
        <f>-S272</f>
        <v>5000</v>
      </c>
      <c r="AG497" s="313">
        <f t="shared" si="443"/>
        <v>26195</v>
      </c>
      <c r="AH497" s="295">
        <f>-S273</f>
        <v>1550000</v>
      </c>
      <c r="AI497" s="63">
        <f t="shared" si="444"/>
        <v>5789000</v>
      </c>
      <c r="AJ497" s="82">
        <f t="shared" si="445"/>
        <v>220.99637335369346</v>
      </c>
    </row>
    <row r="498" spans="1:41" x14ac:dyDescent="0.3">
      <c r="V498" s="92"/>
      <c r="W498" s="38"/>
      <c r="X498" s="92"/>
      <c r="Y498" s="25"/>
      <c r="Z498" s="92"/>
      <c r="AB498" t="s">
        <v>70</v>
      </c>
      <c r="AC498" s="63">
        <v>200</v>
      </c>
      <c r="AD498" s="53">
        <f>Y310</f>
        <v>19042</v>
      </c>
      <c r="AE498" s="82">
        <f>AC498*AD498</f>
        <v>3808400</v>
      </c>
      <c r="AF498">
        <f>-S311</f>
        <v>5400</v>
      </c>
      <c r="AG498" s="313">
        <f t="shared" si="443"/>
        <v>24442</v>
      </c>
      <c r="AH498" s="295">
        <f>-S312</f>
        <v>1674000</v>
      </c>
      <c r="AI498" s="63">
        <f t="shared" si="444"/>
        <v>5482400</v>
      </c>
      <c r="AJ498" s="82">
        <f t="shared" si="445"/>
        <v>224.3024302430243</v>
      </c>
    </row>
    <row r="499" spans="1:41" x14ac:dyDescent="0.3">
      <c r="C499" s="59"/>
      <c r="D499" s="59"/>
      <c r="V499" s="92"/>
      <c r="W499" s="92"/>
      <c r="X499" s="23"/>
      <c r="Y499" s="41"/>
      <c r="Z499" s="39"/>
      <c r="AB499" t="s">
        <v>71</v>
      </c>
      <c r="AC499" s="63">
        <v>100</v>
      </c>
      <c r="AD499">
        <f>Y349</f>
        <v>4020</v>
      </c>
      <c r="AE499" s="63">
        <f>AC499*AD499</f>
        <v>402000</v>
      </c>
      <c r="AF499">
        <f>-S350</f>
        <v>5000</v>
      </c>
      <c r="AG499" s="313">
        <f t="shared" si="443"/>
        <v>9020</v>
      </c>
      <c r="AH499" s="295">
        <f>-S351</f>
        <v>1550000</v>
      </c>
      <c r="AI499" s="63">
        <f t="shared" si="444"/>
        <v>1952000</v>
      </c>
      <c r="AJ499" s="82">
        <f t="shared" si="445"/>
        <v>216.4079822616408</v>
      </c>
    </row>
    <row r="500" spans="1:41" x14ac:dyDescent="0.3">
      <c r="B500" s="60"/>
      <c r="C500" s="58"/>
      <c r="D500" s="61"/>
      <c r="V500" s="92"/>
      <c r="W500" s="92"/>
      <c r="X500" s="23"/>
      <c r="Y500" s="21"/>
      <c r="Z500" s="92"/>
      <c r="AB500" t="s">
        <v>72</v>
      </c>
      <c r="AC500" s="63">
        <v>50</v>
      </c>
      <c r="AD500">
        <f>Y388</f>
        <v>63057</v>
      </c>
      <c r="AE500" s="63">
        <f t="shared" si="442"/>
        <v>3152850</v>
      </c>
      <c r="AG500" s="313">
        <f t="shared" si="443"/>
        <v>63057</v>
      </c>
      <c r="AI500" s="63">
        <f t="shared" si="444"/>
        <v>3152850</v>
      </c>
      <c r="AJ500" s="82">
        <f t="shared" si="445"/>
        <v>50</v>
      </c>
    </row>
    <row r="501" spans="1:41" x14ac:dyDescent="0.3">
      <c r="A501" s="313"/>
      <c r="B501" s="313"/>
      <c r="C501" s="313"/>
      <c r="D501" s="89" t="s">
        <v>480</v>
      </c>
      <c r="E501" s="50"/>
      <c r="F501" s="313"/>
      <c r="G501" s="313"/>
      <c r="H501" s="313"/>
      <c r="I501" s="313"/>
      <c r="J501" s="313"/>
      <c r="K501" s="313"/>
      <c r="L501" s="313"/>
      <c r="M501" s="313"/>
      <c r="N501" s="313"/>
      <c r="V501" s="92"/>
      <c r="W501" s="92"/>
      <c r="X501" s="92"/>
      <c r="Y501" s="92"/>
      <c r="Z501" s="92"/>
      <c r="AB501" t="s">
        <v>73</v>
      </c>
      <c r="AC501" s="63">
        <v>50</v>
      </c>
      <c r="AD501">
        <f>Y427</f>
        <v>74220</v>
      </c>
      <c r="AE501" s="63">
        <f t="shared" si="442"/>
        <v>3711000</v>
      </c>
      <c r="AG501" s="313">
        <f t="shared" si="443"/>
        <v>74220</v>
      </c>
      <c r="AI501" s="63">
        <f t="shared" si="444"/>
        <v>3711000</v>
      </c>
      <c r="AJ501" s="82">
        <f t="shared" si="445"/>
        <v>50</v>
      </c>
    </row>
    <row r="502" spans="1:41" x14ac:dyDescent="0.3">
      <c r="A502" s="313"/>
      <c r="B502" s="313"/>
      <c r="C502" s="313"/>
      <c r="D502" s="313"/>
      <c r="E502" s="37" t="s">
        <v>481</v>
      </c>
      <c r="F502" s="313"/>
      <c r="G502" s="313"/>
      <c r="H502" s="313"/>
      <c r="I502" s="313"/>
      <c r="J502" s="313"/>
      <c r="K502" s="313"/>
      <c r="L502" s="313"/>
      <c r="M502" s="313"/>
      <c r="N502" s="313"/>
      <c r="V502" s="92"/>
      <c r="W502" s="38"/>
      <c r="X502" s="92"/>
      <c r="Y502" s="66"/>
      <c r="Z502" s="92"/>
      <c r="AB502" t="s">
        <v>74</v>
      </c>
      <c r="AC502" s="63">
        <v>60</v>
      </c>
      <c r="AD502" s="50">
        <f>Y468</f>
        <v>77137</v>
      </c>
      <c r="AE502" s="64">
        <f t="shared" si="442"/>
        <v>4628220</v>
      </c>
      <c r="AG502" s="50">
        <f t="shared" si="443"/>
        <v>77137</v>
      </c>
      <c r="AI502" s="64">
        <f t="shared" si="444"/>
        <v>4628220</v>
      </c>
      <c r="AJ502" s="64">
        <f t="shared" si="445"/>
        <v>60</v>
      </c>
      <c r="AN502" s="23"/>
      <c r="AO502" s="21"/>
    </row>
    <row r="503" spans="1:41" x14ac:dyDescent="0.3">
      <c r="A503" s="313"/>
      <c r="B503" s="313"/>
      <c r="C503" s="35" t="s">
        <v>161</v>
      </c>
      <c r="D503" s="49">
        <f>X481</f>
        <v>1739731</v>
      </c>
      <c r="E503" s="313" t="s">
        <v>46</v>
      </c>
      <c r="F503" s="58">
        <f>Y483</f>
        <v>33.514685431253454</v>
      </c>
      <c r="G503" s="84">
        <f>D503*F503</f>
        <v>58306537.200000003</v>
      </c>
      <c r="H503" s="313"/>
      <c r="I503" s="313"/>
      <c r="J503" s="313"/>
      <c r="K503" s="313"/>
      <c r="L503" s="313"/>
      <c r="M503" s="313"/>
      <c r="N503" s="313"/>
      <c r="V503" s="92"/>
      <c r="W503" s="92"/>
      <c r="X503" s="23"/>
      <c r="Y503" s="41"/>
      <c r="Z503" s="39"/>
      <c r="AD503">
        <f>SUM(AD491:AD502)</f>
        <v>398031</v>
      </c>
      <c r="AE503" s="65">
        <f>SUM(AE491:AE502)</f>
        <v>28735485</v>
      </c>
      <c r="AG503" s="313">
        <f>SUM(AG491:AG502)</f>
        <v>418631</v>
      </c>
      <c r="AI503" s="65">
        <f>SUM(AI491:AI502)</f>
        <v>35121485</v>
      </c>
      <c r="AJ503" s="79">
        <f>AI503/AG503</f>
        <v>83.896044487866405</v>
      </c>
    </row>
    <row r="504" spans="1:41" x14ac:dyDescent="0.3">
      <c r="A504" s="313"/>
      <c r="B504" s="313"/>
      <c r="C504" s="35" t="s">
        <v>482</v>
      </c>
      <c r="D504" s="83">
        <f>-AG503</f>
        <v>-418631</v>
      </c>
      <c r="E504" s="313" t="s">
        <v>46</v>
      </c>
      <c r="F504" s="58">
        <f>G504/D504</f>
        <v>83.896044487866405</v>
      </c>
      <c r="G504" s="85">
        <f>-AI503</f>
        <v>-35121485</v>
      </c>
      <c r="H504" s="313"/>
      <c r="I504" s="313"/>
      <c r="J504" s="313"/>
      <c r="K504" s="313"/>
      <c r="L504" s="313"/>
      <c r="M504" s="313"/>
      <c r="N504" s="313"/>
      <c r="V504" s="92"/>
      <c r="W504" s="92"/>
      <c r="X504" s="23"/>
      <c r="Y504" s="21"/>
      <c r="Z504" s="92"/>
    </row>
    <row r="505" spans="1:41" x14ac:dyDescent="0.3">
      <c r="A505" s="313"/>
      <c r="B505" s="313"/>
      <c r="C505" s="38" t="s">
        <v>483</v>
      </c>
      <c r="D505" s="51">
        <f>SUM(D503:D504)</f>
        <v>1321100</v>
      </c>
      <c r="E505" s="37" t="s">
        <v>46</v>
      </c>
      <c r="F505" s="61">
        <f>G505/D505</f>
        <v>17.549808644311561</v>
      </c>
      <c r="G505" s="86">
        <f>SUM(G503:G504)</f>
        <v>23185052.200000003</v>
      </c>
      <c r="H505" s="313"/>
      <c r="I505" s="313"/>
      <c r="J505" s="313"/>
      <c r="K505" s="313"/>
      <c r="L505" s="313"/>
      <c r="M505" s="313"/>
      <c r="N505" s="313"/>
    </row>
    <row r="506" spans="1:41" x14ac:dyDescent="0.3">
      <c r="A506" s="313"/>
      <c r="B506" s="313"/>
      <c r="C506" s="35"/>
      <c r="D506" s="49"/>
      <c r="E506" s="313"/>
      <c r="F506" s="58"/>
      <c r="G506" s="84"/>
      <c r="H506" s="313"/>
      <c r="I506" s="313"/>
      <c r="J506" s="313"/>
      <c r="K506" s="313"/>
      <c r="L506" s="313"/>
      <c r="M506" s="313"/>
      <c r="N506" s="313"/>
      <c r="AB506" s="50"/>
      <c r="AC506" s="50"/>
      <c r="AD506" s="50"/>
      <c r="AE506" s="50"/>
    </row>
    <row r="507" spans="1:41" x14ac:dyDescent="0.3">
      <c r="A507" s="313"/>
      <c r="B507" s="313"/>
      <c r="C507" s="35" t="s">
        <v>484</v>
      </c>
      <c r="D507" s="49">
        <f>G475</f>
        <v>306600</v>
      </c>
      <c r="E507" s="313" t="s">
        <v>46</v>
      </c>
      <c r="F507" s="58">
        <f>G474</f>
        <v>48.452830428082201</v>
      </c>
      <c r="G507" s="84">
        <f>D507*F507</f>
        <v>14855637.809250003</v>
      </c>
      <c r="H507" s="313"/>
      <c r="I507" s="313"/>
      <c r="J507" s="313"/>
      <c r="K507" s="313"/>
      <c r="L507" s="313"/>
      <c r="M507" s="313"/>
      <c r="N507" s="313"/>
      <c r="AB507" s="92"/>
      <c r="AC507" s="93"/>
      <c r="AD507" s="92"/>
      <c r="AE507" s="63"/>
    </row>
    <row r="508" spans="1:41" x14ac:dyDescent="0.3">
      <c r="A508" s="313"/>
      <c r="B508" s="313"/>
      <c r="C508" s="35" t="s">
        <v>485</v>
      </c>
      <c r="D508" s="49">
        <f>'Hoover with 30 MW Solar'!N28</f>
        <v>89413.111449999968</v>
      </c>
      <c r="E508" s="313" t="s">
        <v>46</v>
      </c>
      <c r="F508" s="58">
        <v>24.99</v>
      </c>
      <c r="G508" s="84">
        <f>D508*F508</f>
        <v>2234433.6551354988</v>
      </c>
      <c r="H508" s="313"/>
      <c r="I508" s="313"/>
      <c r="J508" s="313"/>
      <c r="K508" s="313"/>
      <c r="L508" s="313"/>
      <c r="M508" s="313"/>
      <c r="N508" s="313"/>
      <c r="AB508" s="92"/>
      <c r="AC508" s="93"/>
      <c r="AD508" s="92"/>
      <c r="AE508" s="63"/>
    </row>
    <row r="509" spans="1:41" x14ac:dyDescent="0.3">
      <c r="A509" s="313"/>
      <c r="B509" s="313"/>
      <c r="C509" s="35"/>
      <c r="D509" s="49"/>
      <c r="E509" s="313"/>
      <c r="F509" s="58"/>
      <c r="G509" s="84"/>
      <c r="H509" s="313"/>
      <c r="I509" s="313"/>
      <c r="J509" s="313"/>
      <c r="K509" s="313"/>
      <c r="L509" s="313"/>
      <c r="M509" s="313"/>
      <c r="N509" s="313"/>
      <c r="AB509" s="92"/>
      <c r="AC509" s="93"/>
      <c r="AD509" s="92"/>
      <c r="AE509" s="63"/>
    </row>
    <row r="510" spans="1:41" x14ac:dyDescent="0.3">
      <c r="A510" s="313"/>
      <c r="B510" s="313"/>
      <c r="C510" s="38" t="s">
        <v>486</v>
      </c>
      <c r="D510" s="51">
        <f>SUM(D505:D508)</f>
        <v>1717113.11145</v>
      </c>
      <c r="E510" s="37" t="s">
        <v>46</v>
      </c>
      <c r="F510" s="61">
        <f>G510/D510</f>
        <v>23.455137227608468</v>
      </c>
      <c r="G510" s="86">
        <f>SUM(G505:G508)</f>
        <v>40275123.664385505</v>
      </c>
      <c r="H510" s="313"/>
      <c r="I510" s="313"/>
      <c r="J510" s="313"/>
      <c r="K510" s="313"/>
      <c r="L510" s="313"/>
      <c r="M510" s="313"/>
      <c r="N510" s="313"/>
      <c r="AB510" s="92"/>
      <c r="AC510" s="93"/>
      <c r="AD510" s="92"/>
      <c r="AE510" s="63"/>
    </row>
    <row r="511" spans="1:41" x14ac:dyDescent="0.3">
      <c r="A511" s="313"/>
      <c r="B511" s="313"/>
      <c r="C511" s="313"/>
      <c r="D511" s="49"/>
      <c r="E511" s="313"/>
      <c r="F511" s="313"/>
      <c r="G511" s="313"/>
      <c r="H511" s="313"/>
      <c r="I511" s="313"/>
      <c r="J511" s="313"/>
      <c r="K511" s="313"/>
      <c r="L511" s="313"/>
      <c r="M511" s="313"/>
      <c r="N511" s="313"/>
      <c r="AB511" s="92"/>
      <c r="AC511" s="93"/>
      <c r="AD511" s="92"/>
      <c r="AE511" s="63"/>
    </row>
    <row r="512" spans="1:41" x14ac:dyDescent="0.3">
      <c r="A512" s="313"/>
      <c r="B512" s="313"/>
      <c r="C512" s="35" t="s">
        <v>487</v>
      </c>
      <c r="D512" s="49">
        <f>H475</f>
        <v>127652</v>
      </c>
      <c r="E512" s="313" t="s">
        <v>46</v>
      </c>
      <c r="F512" s="58">
        <f>H474</f>
        <v>43.87</v>
      </c>
      <c r="G512" s="84">
        <f>D512*F512</f>
        <v>5600093.2399999993</v>
      </c>
      <c r="H512" s="313"/>
      <c r="I512" s="478" t="s">
        <v>227</v>
      </c>
      <c r="J512" s="478" t="s">
        <v>227</v>
      </c>
      <c r="K512" s="313"/>
      <c r="L512" s="313"/>
      <c r="M512" s="313"/>
      <c r="N512" s="313"/>
      <c r="AB512" s="92"/>
      <c r="AC512" s="93"/>
      <c r="AD512" s="92"/>
      <c r="AE512" s="63"/>
    </row>
    <row r="513" spans="1:31" x14ac:dyDescent="0.3">
      <c r="A513" s="313"/>
      <c r="B513" s="313"/>
      <c r="C513" s="313"/>
      <c r="D513" s="313"/>
      <c r="E513" s="313"/>
      <c r="F513" s="313"/>
      <c r="G513" s="313"/>
      <c r="H513" s="313"/>
      <c r="I513" s="478" t="s">
        <v>228</v>
      </c>
      <c r="J513" s="478" t="s">
        <v>229</v>
      </c>
      <c r="K513" s="313"/>
      <c r="L513" s="313"/>
      <c r="M513" s="313"/>
      <c r="N513" s="313"/>
      <c r="AB513" s="92"/>
      <c r="AC513" s="93"/>
      <c r="AD513" s="92"/>
      <c r="AE513" s="63"/>
    </row>
    <row r="514" spans="1:31" x14ac:dyDescent="0.3">
      <c r="A514" s="313"/>
      <c r="B514" s="313"/>
      <c r="C514" s="38" t="s">
        <v>488</v>
      </c>
      <c r="D514" s="51">
        <f>D510+D512</f>
        <v>1844765.11145</v>
      </c>
      <c r="E514" s="37" t="s">
        <v>46</v>
      </c>
      <c r="F514" s="61">
        <f>G514/D514</f>
        <v>24.867782147249752</v>
      </c>
      <c r="G514" s="86">
        <f>G510+G512</f>
        <v>45875216.904385507</v>
      </c>
      <c r="H514" s="313"/>
      <c r="I514" s="478" t="s">
        <v>230</v>
      </c>
      <c r="J514" s="478" t="s">
        <v>230</v>
      </c>
      <c r="K514" s="313"/>
      <c r="L514" s="313"/>
      <c r="M514" s="313"/>
      <c r="N514" s="313"/>
      <c r="AB514" s="92"/>
      <c r="AC514" s="93"/>
      <c r="AD514" s="92"/>
      <c r="AE514" s="82"/>
    </row>
    <row r="515" spans="1:31" s="92" customFormat="1" x14ac:dyDescent="0.3">
      <c r="A515" s="313"/>
      <c r="B515" s="313"/>
      <c r="C515" s="38" t="s">
        <v>489</v>
      </c>
      <c r="D515" s="51">
        <f>D514*1.04</f>
        <v>1918555.715908</v>
      </c>
      <c r="E515" s="37" t="s">
        <v>46</v>
      </c>
      <c r="F515" s="61">
        <f>F514</f>
        <v>24.867782147249752</v>
      </c>
      <c r="G515" s="86">
        <f>D515*F515</f>
        <v>47710225.58056093</v>
      </c>
      <c r="H515" s="313"/>
      <c r="I515" s="61">
        <f>G515/Load!P33</f>
        <v>46.746637149008421</v>
      </c>
      <c r="J515" s="61">
        <f>G516/(Load!$P$26+22050)</f>
        <v>45.004207436338383</v>
      </c>
      <c r="K515" s="313" t="s">
        <v>459</v>
      </c>
      <c r="L515" s="313"/>
      <c r="M515" s="313"/>
      <c r="N515" s="313"/>
      <c r="AC515" s="93"/>
      <c r="AE515" s="63"/>
    </row>
    <row r="516" spans="1:31" x14ac:dyDescent="0.3">
      <c r="A516" s="313"/>
      <c r="B516" s="313"/>
      <c r="C516" s="313"/>
      <c r="D516" s="313"/>
      <c r="E516" s="478" t="s">
        <v>431</v>
      </c>
      <c r="F516" s="315"/>
      <c r="G516" s="86">
        <f>G515+10000*59</f>
        <v>48300225.58056093</v>
      </c>
      <c r="H516" s="313"/>
      <c r="I516" s="313"/>
      <c r="J516" s="61">
        <f>(G516+('Lake Pleasant Forecast'!R57-'Lake Pleasant Forecast'!R105)*51)/(Load!P26+22500)</f>
        <v>49.220222733396227</v>
      </c>
      <c r="K516" s="480" t="s">
        <v>511</v>
      </c>
      <c r="L516" s="49"/>
      <c r="M516" s="313"/>
      <c r="N516" s="313"/>
      <c r="O516"/>
      <c r="AB516" s="92"/>
      <c r="AC516" s="93"/>
      <c r="AD516" s="92"/>
      <c r="AE516" s="63"/>
    </row>
    <row r="517" spans="1:31" x14ac:dyDescent="0.3">
      <c r="A517" s="313"/>
      <c r="B517" s="313"/>
      <c r="C517" s="313"/>
      <c r="D517" s="313"/>
      <c r="E517" s="37" t="s">
        <v>490</v>
      </c>
      <c r="F517" s="313"/>
      <c r="G517" s="313"/>
      <c r="H517" s="313"/>
      <c r="I517" s="313"/>
      <c r="J517" s="61">
        <f>+J516+1.95</f>
        <v>51.17022273339623</v>
      </c>
      <c r="K517" s="480" t="s">
        <v>430</v>
      </c>
      <c r="L517" s="83"/>
      <c r="M517" s="313"/>
      <c r="N517" s="58"/>
      <c r="O517" s="84"/>
      <c r="P517" s="84"/>
      <c r="AB517" s="92"/>
      <c r="AC517" s="93"/>
      <c r="AD517" s="92"/>
      <c r="AE517" s="63"/>
    </row>
    <row r="518" spans="1:31" x14ac:dyDescent="0.3">
      <c r="A518" s="313"/>
      <c r="B518" s="313"/>
      <c r="C518" s="35" t="s">
        <v>161</v>
      </c>
      <c r="D518" s="49">
        <f>K492</f>
        <v>573769</v>
      </c>
      <c r="E518" s="313" t="s">
        <v>46</v>
      </c>
      <c r="F518" s="58">
        <f>G518/D518</f>
        <v>31.827658866198767</v>
      </c>
      <c r="G518" s="84">
        <f>K486</f>
        <v>18261724</v>
      </c>
      <c r="H518" s="313"/>
      <c r="I518" s="313"/>
      <c r="J518" s="313"/>
      <c r="K518" s="35"/>
      <c r="L518" s="83"/>
      <c r="M518" s="313"/>
      <c r="N518" s="58"/>
      <c r="O518" s="85"/>
      <c r="P518" s="85"/>
      <c r="AB518" s="92"/>
      <c r="AC518" s="93"/>
      <c r="AD518" s="92"/>
      <c r="AE518" s="64"/>
    </row>
    <row r="519" spans="1:31" x14ac:dyDescent="0.3">
      <c r="A519" s="313"/>
      <c r="B519" s="313"/>
      <c r="C519" s="35" t="s">
        <v>482</v>
      </c>
      <c r="D519" s="83">
        <f>-(AG491+AG492+AG493)</f>
        <v>-105840</v>
      </c>
      <c r="E519" s="313" t="s">
        <v>46</v>
      </c>
      <c r="F519" s="58">
        <f>G519/D519</f>
        <v>56.349914965986393</v>
      </c>
      <c r="G519" s="85">
        <f>-(AI491+AI492+AI493)</f>
        <v>-5964075</v>
      </c>
      <c r="H519" s="313"/>
      <c r="I519" s="313"/>
      <c r="J519" s="313"/>
      <c r="K519" s="38"/>
      <c r="L519" s="51"/>
      <c r="M519" s="37"/>
      <c r="N519" s="61"/>
      <c r="O519" s="86"/>
      <c r="P519" s="86"/>
      <c r="AB519" s="92"/>
      <c r="AC519" s="92"/>
      <c r="AD519" s="92"/>
      <c r="AE519" s="65"/>
    </row>
    <row r="520" spans="1:31" x14ac:dyDescent="0.3">
      <c r="A520" s="313"/>
      <c r="B520" s="313"/>
      <c r="C520" s="38" t="s">
        <v>491</v>
      </c>
      <c r="D520" s="51">
        <f>SUM(D518:D519)</f>
        <v>467929</v>
      </c>
      <c r="E520" s="37" t="s">
        <v>46</v>
      </c>
      <c r="F520" s="61">
        <f>G520/D520</f>
        <v>26.28101485481772</v>
      </c>
      <c r="G520" s="86">
        <f>SUM(G518:G519)</f>
        <v>12297649</v>
      </c>
      <c r="H520" s="313"/>
      <c r="I520" s="313"/>
      <c r="J520" s="313"/>
      <c r="K520" s="35"/>
      <c r="L520" s="49"/>
      <c r="M520" s="313"/>
      <c r="N520" s="58"/>
      <c r="O520" s="84"/>
      <c r="P520" s="84"/>
    </row>
    <row r="521" spans="1:31" x14ac:dyDescent="0.3">
      <c r="A521" s="313"/>
      <c r="B521" s="313"/>
      <c r="C521" s="35"/>
      <c r="D521" s="49"/>
      <c r="E521" s="313"/>
      <c r="F521" s="58"/>
      <c r="G521" s="84"/>
      <c r="H521" s="313"/>
      <c r="I521" s="313"/>
      <c r="J521" s="313"/>
      <c r="K521" s="35"/>
      <c r="L521" s="49"/>
      <c r="M521" s="313"/>
      <c r="N521" s="58"/>
      <c r="O521" s="84"/>
      <c r="P521" s="84"/>
      <c r="AB521" s="92"/>
      <c r="AC521" s="92"/>
      <c r="AD521" s="92"/>
      <c r="AE521" s="92"/>
    </row>
    <row r="522" spans="1:31" x14ac:dyDescent="0.3">
      <c r="A522" s="313"/>
      <c r="B522" s="313"/>
      <c r="C522" s="35" t="s">
        <v>484</v>
      </c>
      <c r="D522" s="49">
        <f>G32+G72+G112</f>
        <v>75600</v>
      </c>
      <c r="E522" s="313" t="s">
        <v>46</v>
      </c>
      <c r="F522" s="58">
        <f>G522/D522</f>
        <v>54.194083124999999</v>
      </c>
      <c r="G522" s="84">
        <f>G33+G73+G113</f>
        <v>4097072.6842499999</v>
      </c>
      <c r="H522" s="313"/>
      <c r="I522" s="313"/>
      <c r="J522" s="313"/>
      <c r="K522" s="35"/>
      <c r="L522" s="49"/>
      <c r="M522" s="313"/>
      <c r="N522" s="58"/>
      <c r="O522" s="84"/>
      <c r="P522" s="84"/>
    </row>
    <row r="523" spans="1:31" x14ac:dyDescent="0.3">
      <c r="A523" s="313"/>
      <c r="B523" s="313"/>
      <c r="C523" s="35" t="s">
        <v>485</v>
      </c>
      <c r="D523" s="49">
        <f>SUM('Hoover with 30 MW Solar'!B30:D30)</f>
        <v>18990.235754999998</v>
      </c>
      <c r="E523" s="313" t="s">
        <v>46</v>
      </c>
      <c r="F523" s="58">
        <v>24.99</v>
      </c>
      <c r="G523" s="84">
        <f>D523*F523</f>
        <v>474565.9915174499</v>
      </c>
      <c r="H523" s="313"/>
      <c r="I523" s="313"/>
      <c r="J523" s="313"/>
      <c r="K523" s="35"/>
      <c r="L523" s="49"/>
      <c r="M523" s="313"/>
      <c r="N523" s="58"/>
      <c r="O523" s="84"/>
      <c r="P523" s="84"/>
    </row>
    <row r="524" spans="1:31" x14ac:dyDescent="0.3">
      <c r="A524" s="313"/>
      <c r="B524" s="313"/>
      <c r="C524" s="35"/>
      <c r="D524" s="49"/>
      <c r="E524" s="313"/>
      <c r="F524" s="58"/>
      <c r="G524" s="84"/>
      <c r="H524" s="313"/>
      <c r="I524" s="313"/>
      <c r="J524" s="313"/>
      <c r="K524" s="38"/>
      <c r="L524" s="51"/>
      <c r="M524" s="37"/>
      <c r="N524" s="61"/>
      <c r="O524" s="86"/>
      <c r="P524" s="86"/>
    </row>
    <row r="525" spans="1:31" x14ac:dyDescent="0.3">
      <c r="A525" s="313"/>
      <c r="B525" s="313"/>
      <c r="C525" s="38" t="s">
        <v>492</v>
      </c>
      <c r="D525" s="51">
        <f>SUM(D520:D523)</f>
        <v>562519.23575500003</v>
      </c>
      <c r="E525" s="37" t="s">
        <v>46</v>
      </c>
      <c r="F525" s="61">
        <f>G525/D525</f>
        <v>29.988819232334148</v>
      </c>
      <c r="G525" s="86">
        <f>SUM(G520:G523)</f>
        <v>16869287.675767452</v>
      </c>
      <c r="H525" s="313"/>
      <c r="I525" s="313"/>
      <c r="J525" s="313"/>
      <c r="K525" s="313"/>
      <c r="L525" s="49"/>
      <c r="M525" s="313"/>
      <c r="N525" s="313"/>
      <c r="Q525"/>
      <c r="R525"/>
      <c r="S525"/>
      <c r="T525"/>
    </row>
    <row r="526" spans="1:31" x14ac:dyDescent="0.3">
      <c r="A526" s="313"/>
      <c r="B526" s="313"/>
      <c r="C526" s="313"/>
      <c r="D526" s="49"/>
      <c r="E526" s="313"/>
      <c r="F526" s="313"/>
      <c r="G526" s="313"/>
      <c r="H526" s="313"/>
      <c r="I526" s="313"/>
      <c r="J526" s="313"/>
      <c r="K526" s="35"/>
      <c r="L526" s="49"/>
      <c r="M526" s="313"/>
      <c r="N526" s="58"/>
      <c r="O526" s="84"/>
      <c r="P526" s="84"/>
      <c r="Q526"/>
      <c r="R526"/>
      <c r="S526"/>
      <c r="T526"/>
    </row>
    <row r="527" spans="1:31" x14ac:dyDescent="0.3">
      <c r="A527" s="313"/>
      <c r="B527" s="313"/>
      <c r="C527" s="35" t="s">
        <v>487</v>
      </c>
      <c r="D527" s="49">
        <f>SUM('Hoover with 30 MW Solar'!B31:D31)</f>
        <v>28011</v>
      </c>
      <c r="E527" s="313" t="s">
        <v>46</v>
      </c>
      <c r="F527" s="58">
        <f>$H$474</f>
        <v>43.87</v>
      </c>
      <c r="G527" s="84">
        <f>D527*F527</f>
        <v>1228842.5699999998</v>
      </c>
      <c r="H527" s="313"/>
      <c r="I527" s="313"/>
      <c r="J527" s="313"/>
      <c r="K527" s="313"/>
      <c r="L527" s="313"/>
      <c r="M527" s="313"/>
      <c r="N527" s="313"/>
      <c r="R527"/>
    </row>
    <row r="528" spans="1:31" x14ac:dyDescent="0.3">
      <c r="A528" s="313"/>
      <c r="B528" s="313"/>
      <c r="C528" s="313"/>
      <c r="D528" s="313"/>
      <c r="E528" s="313"/>
      <c r="F528" s="313"/>
      <c r="G528" s="313"/>
      <c r="H528" s="313"/>
      <c r="I528" s="313"/>
      <c r="J528" s="313"/>
      <c r="K528" s="38"/>
      <c r="L528" s="51"/>
      <c r="M528" s="37"/>
      <c r="N528" s="90"/>
      <c r="O528" s="86"/>
      <c r="P528" s="86"/>
      <c r="R528"/>
    </row>
    <row r="529" spans="1:18" x14ac:dyDescent="0.3">
      <c r="A529" s="313"/>
      <c r="B529" s="313"/>
      <c r="C529" s="38" t="s">
        <v>493</v>
      </c>
      <c r="D529" s="51">
        <f>D525+D527</f>
        <v>590530.23575500003</v>
      </c>
      <c r="E529" s="37" t="s">
        <v>46</v>
      </c>
      <c r="F529" s="61">
        <f>G529/D529</f>
        <v>30.647254196271209</v>
      </c>
      <c r="G529" s="86">
        <f>G525+G527</f>
        <v>18098130.245767452</v>
      </c>
      <c r="H529" s="313"/>
      <c r="I529" s="313"/>
      <c r="J529" s="313"/>
      <c r="K529" s="313"/>
      <c r="L529" s="313"/>
      <c r="M529" s="313"/>
      <c r="N529" s="313"/>
      <c r="R529"/>
    </row>
    <row r="530" spans="1:18" s="92" customFormat="1" x14ac:dyDescent="0.3">
      <c r="A530" s="313"/>
      <c r="B530" s="313"/>
      <c r="C530" s="38" t="s">
        <v>494</v>
      </c>
      <c r="D530" s="51">
        <f>D529*1.04</f>
        <v>614151.44518520008</v>
      </c>
      <c r="E530" s="37" t="s">
        <v>46</v>
      </c>
      <c r="F530" s="61">
        <f>F529</f>
        <v>30.647254196271209</v>
      </c>
      <c r="G530" s="86">
        <f>D530*F530</f>
        <v>18822055.455598149</v>
      </c>
      <c r="H530" s="313"/>
      <c r="I530" s="313"/>
      <c r="J530" s="313"/>
      <c r="K530" s="313"/>
      <c r="L530" s="313"/>
      <c r="M530" s="313"/>
      <c r="N530" s="313"/>
    </row>
    <row r="531" spans="1:18" x14ac:dyDescent="0.3">
      <c r="A531" s="313"/>
      <c r="B531" s="313"/>
      <c r="C531" s="313"/>
      <c r="D531" s="313"/>
      <c r="E531" s="313"/>
      <c r="F531" s="313"/>
      <c r="G531" s="313"/>
      <c r="H531" s="313"/>
      <c r="I531" s="313"/>
      <c r="J531" s="313"/>
      <c r="K531" s="313"/>
      <c r="L531" s="313"/>
      <c r="M531" s="37"/>
      <c r="N531" s="313"/>
      <c r="R531"/>
    </row>
    <row r="532" spans="1:18" x14ac:dyDescent="0.3">
      <c r="A532" s="313"/>
      <c r="B532" s="313"/>
      <c r="C532" s="313"/>
      <c r="D532" s="313"/>
      <c r="E532" s="37" t="s">
        <v>495</v>
      </c>
      <c r="F532" s="313"/>
      <c r="G532" s="313"/>
      <c r="H532" s="313"/>
      <c r="I532" s="313"/>
      <c r="J532" s="313"/>
      <c r="K532" s="35"/>
      <c r="L532" s="49"/>
      <c r="M532" s="313"/>
      <c r="N532" s="58"/>
      <c r="O532" s="84"/>
      <c r="P532" s="84"/>
      <c r="R532"/>
    </row>
    <row r="533" spans="1:18" x14ac:dyDescent="0.3">
      <c r="A533" s="313"/>
      <c r="B533" s="313"/>
      <c r="C533" s="35" t="s">
        <v>161</v>
      </c>
      <c r="D533" s="49">
        <f>K493</f>
        <v>529718</v>
      </c>
      <c r="E533" s="313" t="s">
        <v>46</v>
      </c>
      <c r="F533" s="58">
        <f>G533/D533</f>
        <v>31.872849327377963</v>
      </c>
      <c r="G533" s="84">
        <f>K487</f>
        <v>16883622</v>
      </c>
      <c r="H533" s="313"/>
      <c r="I533" s="313"/>
      <c r="J533" s="313"/>
      <c r="K533" s="35"/>
      <c r="L533" s="83"/>
      <c r="M533" s="313"/>
      <c r="N533" s="58"/>
      <c r="O533" s="85"/>
      <c r="P533" s="85"/>
      <c r="R533"/>
    </row>
    <row r="534" spans="1:18" x14ac:dyDescent="0.3">
      <c r="A534" s="313"/>
      <c r="B534" s="313"/>
      <c r="C534" s="35" t="s">
        <v>482</v>
      </c>
      <c r="D534" s="83">
        <f>-(AG494+AG495+AG496)</f>
        <v>-38720</v>
      </c>
      <c r="E534" s="313" t="s">
        <v>46</v>
      </c>
      <c r="F534" s="58">
        <f>G534/D534</f>
        <v>114.71952479338843</v>
      </c>
      <c r="G534" s="85">
        <f>-(AI494+AI495+AI496)</f>
        <v>-4441940</v>
      </c>
      <c r="H534" s="313"/>
      <c r="I534" s="313"/>
      <c r="J534" s="313"/>
      <c r="K534" s="38"/>
      <c r="L534" s="51"/>
      <c r="M534" s="37"/>
      <c r="N534" s="61"/>
      <c r="O534" s="86"/>
      <c r="P534" s="86"/>
      <c r="R534"/>
    </row>
    <row r="535" spans="1:18" x14ac:dyDescent="0.3">
      <c r="A535" s="313"/>
      <c r="B535" s="313"/>
      <c r="C535" s="38" t="s">
        <v>496</v>
      </c>
      <c r="D535" s="51">
        <f>SUM(D533:D534)</f>
        <v>490998</v>
      </c>
      <c r="E535" s="37" t="s">
        <v>46</v>
      </c>
      <c r="F535" s="61">
        <f>G535/D535</f>
        <v>25.339577757954206</v>
      </c>
      <c r="G535" s="86">
        <f>SUM(G533:G534)</f>
        <v>12441682</v>
      </c>
      <c r="H535" s="313"/>
      <c r="I535" s="313"/>
      <c r="J535" s="313"/>
      <c r="K535" s="35"/>
      <c r="L535" s="49"/>
      <c r="M535" s="313"/>
      <c r="N535" s="58"/>
      <c r="O535" s="84"/>
      <c r="P535" s="84"/>
      <c r="R535"/>
    </row>
    <row r="536" spans="1:18" x14ac:dyDescent="0.3">
      <c r="A536" s="313"/>
      <c r="B536" s="313"/>
      <c r="C536" s="35"/>
      <c r="D536" s="49"/>
      <c r="E536" s="313"/>
      <c r="F536" s="58"/>
      <c r="G536" s="84"/>
      <c r="H536" s="313"/>
      <c r="I536" s="313"/>
      <c r="J536" s="313"/>
      <c r="K536" s="35"/>
      <c r="L536" s="49"/>
      <c r="M536" s="313"/>
      <c r="N536" s="58"/>
      <c r="O536" s="84"/>
      <c r="P536" s="84"/>
      <c r="R536"/>
    </row>
    <row r="537" spans="1:18" x14ac:dyDescent="0.3">
      <c r="A537" s="313"/>
      <c r="B537" s="313"/>
      <c r="C537" s="35" t="s">
        <v>484</v>
      </c>
      <c r="D537" s="49">
        <f>G152+G192+G233</f>
        <v>76440</v>
      </c>
      <c r="E537" s="313" t="s">
        <v>46</v>
      </c>
      <c r="F537" s="58">
        <f>G537/D537</f>
        <v>42.029426373626372</v>
      </c>
      <c r="G537" s="84">
        <f>G153+G193+G234</f>
        <v>3212729.352</v>
      </c>
      <c r="H537" s="313"/>
      <c r="I537" s="313"/>
      <c r="J537" s="313"/>
      <c r="K537" s="35"/>
      <c r="L537" s="49"/>
      <c r="M537" s="313"/>
      <c r="N537" s="58"/>
      <c r="O537" s="84"/>
      <c r="P537" s="84"/>
      <c r="R537"/>
    </row>
    <row r="538" spans="1:18" x14ac:dyDescent="0.3">
      <c r="A538" s="313"/>
      <c r="B538" s="313"/>
      <c r="C538" s="35" t="s">
        <v>485</v>
      </c>
      <c r="D538" s="49">
        <f>SUM('Hoover with 30 MW Solar'!E30:G30)</f>
        <v>29147.117664000001</v>
      </c>
      <c r="E538" s="313" t="s">
        <v>46</v>
      </c>
      <c r="F538" s="58">
        <v>24.99</v>
      </c>
      <c r="G538" s="84">
        <f>D538*F538</f>
        <v>728386.47042336001</v>
      </c>
      <c r="H538" s="313"/>
      <c r="I538" s="313"/>
      <c r="J538" s="313"/>
      <c r="K538" s="35"/>
      <c r="L538" s="49"/>
      <c r="M538" s="313"/>
      <c r="N538" s="58"/>
      <c r="O538" s="84"/>
      <c r="P538" s="84"/>
      <c r="R538"/>
    </row>
    <row r="539" spans="1:18" x14ac:dyDescent="0.3">
      <c r="A539" s="313"/>
      <c r="B539" s="313"/>
      <c r="C539" s="35"/>
      <c r="D539" s="49"/>
      <c r="E539" s="313"/>
      <c r="F539" s="58"/>
      <c r="G539" s="84"/>
      <c r="H539" s="313"/>
      <c r="I539" s="313"/>
      <c r="J539" s="313"/>
      <c r="K539" s="38"/>
      <c r="L539" s="51"/>
      <c r="M539" s="37"/>
      <c r="N539" s="61"/>
      <c r="O539" s="86"/>
      <c r="P539" s="86"/>
      <c r="R539"/>
    </row>
    <row r="540" spans="1:18" x14ac:dyDescent="0.3">
      <c r="A540" s="313"/>
      <c r="B540" s="313"/>
      <c r="C540" s="38" t="s">
        <v>497</v>
      </c>
      <c r="D540" s="51">
        <f>SUM(D535:D538)</f>
        <v>596585.11766400002</v>
      </c>
      <c r="E540" s="37" t="s">
        <v>46</v>
      </c>
      <c r="F540" s="61">
        <f>G540/D540</f>
        <v>27.460956261483947</v>
      </c>
      <c r="G540" s="86">
        <f>SUM(G535:G538)</f>
        <v>16382797.822423359</v>
      </c>
      <c r="H540" s="313"/>
      <c r="I540" s="313"/>
      <c r="J540" s="313"/>
      <c r="K540" s="313"/>
      <c r="L540" s="49"/>
      <c r="M540" s="313"/>
      <c r="N540" s="313"/>
      <c r="R540"/>
    </row>
    <row r="541" spans="1:18" x14ac:dyDescent="0.3">
      <c r="A541" s="313"/>
      <c r="B541" s="313"/>
      <c r="C541" s="313"/>
      <c r="D541" s="49"/>
      <c r="E541" s="313"/>
      <c r="F541" s="313"/>
      <c r="G541" s="313"/>
      <c r="H541" s="313"/>
      <c r="I541" s="313"/>
      <c r="J541" s="313"/>
      <c r="K541" s="35"/>
      <c r="L541" s="49"/>
      <c r="M541" s="313"/>
      <c r="N541" s="58"/>
      <c r="O541" s="84"/>
      <c r="P541" s="84"/>
      <c r="R541"/>
    </row>
    <row r="542" spans="1:18" x14ac:dyDescent="0.3">
      <c r="A542" s="313"/>
      <c r="B542" s="313"/>
      <c r="C542" s="35" t="s">
        <v>487</v>
      </c>
      <c r="D542" s="49">
        <f>SUM('Hoover with 30 MW Solar'!E31:G31)</f>
        <v>39893</v>
      </c>
      <c r="E542" s="313" t="s">
        <v>46</v>
      </c>
      <c r="F542" s="58">
        <f>$H$474</f>
        <v>43.87</v>
      </c>
      <c r="G542" s="84">
        <f>D542*F542</f>
        <v>1750105.91</v>
      </c>
      <c r="H542" s="313"/>
      <c r="I542" s="313"/>
      <c r="J542" s="313"/>
      <c r="K542" s="313"/>
      <c r="L542" s="313"/>
      <c r="M542" s="313"/>
      <c r="N542" s="313"/>
      <c r="R542"/>
    </row>
    <row r="543" spans="1:18" x14ac:dyDescent="0.3">
      <c r="A543" s="313"/>
      <c r="B543" s="313"/>
      <c r="C543" s="313"/>
      <c r="D543" s="313"/>
      <c r="E543" s="313"/>
      <c r="F543" s="313"/>
      <c r="G543" s="313"/>
      <c r="H543" s="313"/>
      <c r="I543" s="313"/>
      <c r="J543" s="313"/>
      <c r="K543" s="38"/>
      <c r="L543" s="51"/>
      <c r="M543" s="37"/>
      <c r="N543" s="90"/>
      <c r="O543" s="86"/>
      <c r="P543" s="86"/>
      <c r="R543"/>
    </row>
    <row r="544" spans="1:18" x14ac:dyDescent="0.3">
      <c r="A544" s="313"/>
      <c r="B544" s="313"/>
      <c r="C544" s="38" t="s">
        <v>498</v>
      </c>
      <c r="D544" s="51">
        <f>D540+D542</f>
        <v>636478.11766400002</v>
      </c>
      <c r="E544" s="37" t="s">
        <v>46</v>
      </c>
      <c r="F544" s="61">
        <f>G544/D544</f>
        <v>28.48943778141923</v>
      </c>
      <c r="G544" s="86">
        <f>G540+G542</f>
        <v>18132903.732423358</v>
      </c>
      <c r="H544" s="313"/>
      <c r="I544" s="313"/>
      <c r="J544" s="313"/>
      <c r="K544" s="313"/>
      <c r="L544" s="313"/>
      <c r="M544" s="313"/>
      <c r="N544" s="313"/>
      <c r="R544"/>
    </row>
    <row r="545" spans="1:20" s="92" customFormat="1" x14ac:dyDescent="0.3">
      <c r="A545" s="313"/>
      <c r="B545" s="313"/>
      <c r="C545" s="38" t="s">
        <v>499</v>
      </c>
      <c r="D545" s="51">
        <f>D544*1.04</f>
        <v>661937.24237056007</v>
      </c>
      <c r="E545" s="37" t="s">
        <v>46</v>
      </c>
      <c r="F545" s="61">
        <f>F544</f>
        <v>28.48943778141923</v>
      </c>
      <c r="G545" s="86">
        <f>D545*F545</f>
        <v>18858219.881720293</v>
      </c>
      <c r="H545" s="313"/>
      <c r="I545" s="313"/>
      <c r="J545" s="313"/>
      <c r="K545" s="313"/>
      <c r="L545" s="313"/>
      <c r="M545" s="313"/>
      <c r="N545" s="313"/>
    </row>
    <row r="546" spans="1:20" x14ac:dyDescent="0.3">
      <c r="A546" s="313"/>
      <c r="B546" s="313"/>
      <c r="C546" s="313"/>
      <c r="D546" s="313"/>
      <c r="E546" s="313"/>
      <c r="F546" s="313"/>
      <c r="G546" s="313"/>
      <c r="H546" s="313"/>
      <c r="I546" s="313"/>
      <c r="J546" s="313"/>
      <c r="K546" s="313"/>
      <c r="L546" s="313"/>
      <c r="M546" s="37"/>
      <c r="N546" s="313"/>
      <c r="Q546"/>
      <c r="R546"/>
    </row>
    <row r="547" spans="1:20" x14ac:dyDescent="0.3">
      <c r="A547" s="313"/>
      <c r="B547" s="313"/>
      <c r="C547" s="313"/>
      <c r="D547" s="313"/>
      <c r="E547" s="37" t="s">
        <v>500</v>
      </c>
      <c r="F547" s="313"/>
      <c r="G547" s="313"/>
      <c r="H547" s="313"/>
      <c r="I547" s="313"/>
      <c r="J547" s="313"/>
      <c r="K547" s="35"/>
      <c r="L547" s="49"/>
      <c r="M547" s="313"/>
      <c r="N547" s="58"/>
      <c r="O547" s="84"/>
      <c r="P547" s="84"/>
      <c r="Q547"/>
      <c r="R547"/>
    </row>
    <row r="548" spans="1:20" x14ac:dyDescent="0.3">
      <c r="A548" s="313"/>
      <c r="B548" s="313"/>
      <c r="C548" s="35" t="s">
        <v>161</v>
      </c>
      <c r="D548" s="49">
        <f>K494</f>
        <v>207544</v>
      </c>
      <c r="E548" s="313" t="s">
        <v>46</v>
      </c>
      <c r="F548" s="58">
        <f>G548/D548</f>
        <v>50.714466330031222</v>
      </c>
      <c r="G548" s="84">
        <f>K488</f>
        <v>10525483.199999999</v>
      </c>
      <c r="H548" s="313"/>
      <c r="I548" s="313"/>
      <c r="J548" s="313"/>
      <c r="K548" s="35"/>
      <c r="L548" s="83"/>
      <c r="M548" s="313"/>
      <c r="N548" s="58"/>
      <c r="O548" s="85"/>
      <c r="P548" s="85"/>
      <c r="Q548"/>
      <c r="R548"/>
    </row>
    <row r="549" spans="1:20" x14ac:dyDescent="0.3">
      <c r="A549" s="313"/>
      <c r="B549" s="313"/>
      <c r="C549" s="35" t="s">
        <v>482</v>
      </c>
      <c r="D549" s="83">
        <f>-(AG497+AG498+AG499)</f>
        <v>-59657</v>
      </c>
      <c r="E549" s="313" t="s">
        <v>46</v>
      </c>
      <c r="F549" s="58">
        <f>G549/D549</f>
        <v>221.65713998357276</v>
      </c>
      <c r="G549" s="85">
        <f>-(AI497+AI498+AI499)</f>
        <v>-13223400</v>
      </c>
      <c r="H549" s="313"/>
      <c r="I549" s="313"/>
      <c r="J549" s="313"/>
      <c r="K549" s="38"/>
      <c r="L549" s="51"/>
      <c r="M549" s="37"/>
      <c r="N549" s="61"/>
      <c r="O549" s="86"/>
      <c r="P549" s="86"/>
      <c r="Q549"/>
      <c r="R549"/>
    </row>
    <row r="550" spans="1:20" x14ac:dyDescent="0.3">
      <c r="A550" s="313"/>
      <c r="B550" s="313"/>
      <c r="C550" s="38" t="s">
        <v>501</v>
      </c>
      <c r="D550" s="51">
        <f>SUM(D548:D549)</f>
        <v>147887</v>
      </c>
      <c r="E550" s="37" t="s">
        <v>46</v>
      </c>
      <c r="F550" s="61">
        <f>G550/D550</f>
        <v>-18.243096418211206</v>
      </c>
      <c r="G550" s="86">
        <f>SUM(G548:G549)</f>
        <v>-2697916.8000000007</v>
      </c>
      <c r="H550" s="313"/>
      <c r="I550" s="313"/>
      <c r="J550" s="313"/>
      <c r="K550" s="35"/>
      <c r="L550" s="49"/>
      <c r="M550" s="313"/>
      <c r="N550" s="58"/>
      <c r="O550" s="84"/>
      <c r="P550" s="84"/>
      <c r="Q550"/>
      <c r="R550"/>
    </row>
    <row r="551" spans="1:20" x14ac:dyDescent="0.3">
      <c r="A551" s="313"/>
      <c r="B551" s="313"/>
      <c r="C551" s="35"/>
      <c r="D551" s="49"/>
      <c r="E551" s="313"/>
      <c r="F551" s="58"/>
      <c r="G551" s="84"/>
      <c r="H551" s="313"/>
      <c r="I551" s="313"/>
      <c r="J551" s="313"/>
      <c r="K551" s="35"/>
      <c r="L551" s="49"/>
      <c r="M551" s="313"/>
      <c r="N551" s="58"/>
      <c r="O551" s="84"/>
      <c r="P551" s="84"/>
      <c r="Q551"/>
      <c r="R551"/>
    </row>
    <row r="552" spans="1:20" x14ac:dyDescent="0.3">
      <c r="A552" s="313"/>
      <c r="B552" s="313"/>
      <c r="C552" s="35" t="s">
        <v>484</v>
      </c>
      <c r="D552" s="49">
        <f>G272+G311+G350</f>
        <v>77280</v>
      </c>
      <c r="E552" s="313" t="s">
        <v>46</v>
      </c>
      <c r="F552" s="58">
        <f>G552/D552</f>
        <v>49.189433967391309</v>
      </c>
      <c r="G552" s="84">
        <f>G273+G312+G351</f>
        <v>3801359.4570000004</v>
      </c>
      <c r="H552" s="313"/>
      <c r="I552" s="313"/>
      <c r="J552" s="313"/>
      <c r="K552" s="35"/>
      <c r="L552" s="49"/>
      <c r="M552" s="313"/>
      <c r="N552" s="58"/>
      <c r="O552" s="84"/>
      <c r="P552" s="84"/>
      <c r="Q552"/>
      <c r="R552"/>
    </row>
    <row r="553" spans="1:20" x14ac:dyDescent="0.3">
      <c r="A553" s="313"/>
      <c r="B553" s="313"/>
      <c r="C553" s="35" t="s">
        <v>485</v>
      </c>
      <c r="D553" s="49">
        <f>SUM('Hoover with 30 MW Solar'!H30:J30)</f>
        <v>24547.683796999998</v>
      </c>
      <c r="E553" s="313" t="s">
        <v>46</v>
      </c>
      <c r="F553" s="58">
        <v>24.99</v>
      </c>
      <c r="G553" s="84">
        <f>D553*F553</f>
        <v>613446.6180870299</v>
      </c>
      <c r="H553" s="313"/>
      <c r="I553" s="313"/>
      <c r="J553" s="313"/>
      <c r="K553" s="35"/>
      <c r="L553" s="49"/>
      <c r="M553" s="313"/>
      <c r="N553" s="58"/>
      <c r="O553" s="84"/>
      <c r="P553" s="84"/>
      <c r="Q553"/>
      <c r="R553"/>
    </row>
    <row r="554" spans="1:20" x14ac:dyDescent="0.3">
      <c r="A554" s="313"/>
      <c r="B554" s="313"/>
      <c r="C554" s="35"/>
      <c r="D554" s="49"/>
      <c r="E554" s="313"/>
      <c r="F554" s="58"/>
      <c r="G554" s="84"/>
      <c r="H554" s="313"/>
      <c r="I554" s="313"/>
      <c r="J554" s="313"/>
      <c r="K554" s="38"/>
      <c r="L554" s="51"/>
      <c r="M554" s="37"/>
      <c r="N554" s="61"/>
      <c r="O554" s="86"/>
      <c r="P554" s="86"/>
      <c r="Q554"/>
      <c r="R554"/>
    </row>
    <row r="555" spans="1:20" x14ac:dyDescent="0.3">
      <c r="A555" s="313"/>
      <c r="B555" s="313"/>
      <c r="C555" s="38" t="s">
        <v>502</v>
      </c>
      <c r="D555" s="51">
        <f>SUM(D550:D553)</f>
        <v>249714.68379700001</v>
      </c>
      <c r="E555" s="37" t="s">
        <v>46</v>
      </c>
      <c r="F555" s="61">
        <f>G555/D555</f>
        <v>6.8754037567239603</v>
      </c>
      <c r="G555" s="86">
        <f>SUM(G550:G553)</f>
        <v>1716889.2750870297</v>
      </c>
      <c r="H555" s="313"/>
      <c r="I555" s="313"/>
      <c r="J555" s="313"/>
      <c r="K555" s="313"/>
      <c r="L555" s="49"/>
      <c r="M555" s="313"/>
      <c r="N555" s="313"/>
      <c r="Q555"/>
      <c r="R555"/>
    </row>
    <row r="556" spans="1:20" x14ac:dyDescent="0.3">
      <c r="A556" s="313"/>
      <c r="B556" s="313"/>
      <c r="C556" s="313"/>
      <c r="D556" s="49"/>
      <c r="E556" s="313"/>
      <c r="F556" s="313"/>
      <c r="G556" s="313"/>
      <c r="H556" s="313"/>
      <c r="I556" s="313"/>
      <c r="J556" s="313"/>
      <c r="K556" s="35"/>
      <c r="L556" s="49"/>
      <c r="M556" s="313"/>
      <c r="N556" s="58"/>
      <c r="O556" s="84"/>
      <c r="P556" s="84"/>
      <c r="Q556"/>
      <c r="R556"/>
    </row>
    <row r="557" spans="1:20" x14ac:dyDescent="0.3">
      <c r="A557" s="313"/>
      <c r="B557" s="313"/>
      <c r="C557" s="35" t="s">
        <v>487</v>
      </c>
      <c r="D557" s="49">
        <f>SUM('Hoover with 30 MW Solar'!H31:J31)</f>
        <v>30764</v>
      </c>
      <c r="E557" s="313" t="s">
        <v>46</v>
      </c>
      <c r="F557" s="58">
        <f>$H$474</f>
        <v>43.87</v>
      </c>
      <c r="G557" s="84">
        <f>D557*F557</f>
        <v>1349616.68</v>
      </c>
      <c r="H557" s="313"/>
      <c r="I557" s="313"/>
      <c r="J557" s="313"/>
      <c r="K557" s="313"/>
      <c r="L557" s="313"/>
      <c r="M557" s="313"/>
      <c r="N557" s="313"/>
      <c r="Q557"/>
      <c r="R557"/>
    </row>
    <row r="558" spans="1:20" x14ac:dyDescent="0.3">
      <c r="A558" s="313"/>
      <c r="B558" s="313"/>
      <c r="C558" s="313"/>
      <c r="D558" s="313"/>
      <c r="E558" s="313"/>
      <c r="F558" s="313"/>
      <c r="G558" s="313"/>
      <c r="H558" s="313"/>
      <c r="I558" s="313"/>
      <c r="J558" s="313"/>
      <c r="K558" s="38"/>
      <c r="L558" s="51"/>
      <c r="M558" s="37"/>
      <c r="N558" s="90"/>
      <c r="O558" s="86"/>
      <c r="P558" s="86"/>
      <c r="Q558"/>
      <c r="R558"/>
      <c r="S558"/>
      <c r="T558"/>
    </row>
    <row r="559" spans="1:20" x14ac:dyDescent="0.3">
      <c r="A559" s="313"/>
      <c r="B559" s="313"/>
      <c r="C559" s="38" t="s">
        <v>503</v>
      </c>
      <c r="D559" s="51">
        <f>D555+D557</f>
        <v>280478.68379699998</v>
      </c>
      <c r="E559" s="37" t="s">
        <v>46</v>
      </c>
      <c r="F559" s="61">
        <f>G559/D559</f>
        <v>10.933115891639209</v>
      </c>
      <c r="G559" s="86">
        <f>G555+G557</f>
        <v>3066505.9550870294</v>
      </c>
      <c r="H559" s="313"/>
      <c r="I559" s="313"/>
      <c r="J559" s="313"/>
      <c r="K559" s="313"/>
      <c r="L559" s="313"/>
      <c r="M559" s="313"/>
      <c r="N559" s="313"/>
      <c r="Q559"/>
      <c r="R559"/>
      <c r="S559"/>
      <c r="T559"/>
    </row>
    <row r="560" spans="1:20" s="92" customFormat="1" x14ac:dyDescent="0.3">
      <c r="A560" s="313"/>
      <c r="B560" s="313"/>
      <c r="C560" s="38" t="s">
        <v>504</v>
      </c>
      <c r="D560" s="51">
        <f>D559*1.04</f>
        <v>291697.83114888001</v>
      </c>
      <c r="E560" s="37" t="s">
        <v>46</v>
      </c>
      <c r="F560" s="61">
        <f>F559</f>
        <v>10.933115891639209</v>
      </c>
      <c r="G560" s="86">
        <f>D560*F560</f>
        <v>3189166.1932905107</v>
      </c>
      <c r="H560" s="313"/>
      <c r="I560" s="313"/>
      <c r="J560" s="313"/>
      <c r="K560" s="313"/>
      <c r="L560" s="313"/>
      <c r="M560" s="313"/>
      <c r="N560" s="313"/>
    </row>
    <row r="561" spans="1:20" x14ac:dyDescent="0.3">
      <c r="A561" s="313"/>
      <c r="B561" s="313"/>
      <c r="C561" s="313"/>
      <c r="D561" s="313"/>
      <c r="E561" s="313"/>
      <c r="F561" s="313"/>
      <c r="G561" s="313"/>
      <c r="H561" s="313"/>
      <c r="I561" s="313"/>
      <c r="J561" s="313"/>
      <c r="K561" s="313"/>
      <c r="L561" s="313"/>
      <c r="M561" s="37"/>
      <c r="N561" s="313"/>
      <c r="Q561"/>
      <c r="R561"/>
      <c r="S561"/>
      <c r="T561"/>
    </row>
    <row r="562" spans="1:20" x14ac:dyDescent="0.3">
      <c r="A562" s="313"/>
      <c r="B562" s="313"/>
      <c r="C562" s="313"/>
      <c r="D562" s="313"/>
      <c r="E562" s="37" t="s">
        <v>505</v>
      </c>
      <c r="F562" s="313"/>
      <c r="G562" s="313"/>
      <c r="H562" s="313"/>
      <c r="I562" s="313"/>
      <c r="J562" s="313"/>
      <c r="K562" s="35"/>
      <c r="L562" s="49"/>
      <c r="M562" s="313"/>
      <c r="N562" s="58"/>
      <c r="O562" s="84"/>
      <c r="P562" s="84"/>
      <c r="Q562"/>
      <c r="R562"/>
      <c r="S562"/>
      <c r="T562"/>
    </row>
    <row r="563" spans="1:20" x14ac:dyDescent="0.3">
      <c r="A563" s="313"/>
      <c r="B563" s="313"/>
      <c r="C563" s="35" t="s">
        <v>161</v>
      </c>
      <c r="D563" s="49">
        <f>K495</f>
        <v>428700</v>
      </c>
      <c r="E563" s="313" t="s">
        <v>46</v>
      </c>
      <c r="F563" s="58">
        <f>G563/D563</f>
        <v>29.474476323769537</v>
      </c>
      <c r="G563" s="84">
        <f>K489</f>
        <v>12635708</v>
      </c>
      <c r="H563" s="313"/>
      <c r="I563" s="313"/>
      <c r="J563" s="313"/>
      <c r="K563" s="35"/>
      <c r="L563" s="83"/>
      <c r="M563" s="313"/>
      <c r="N563" s="58"/>
      <c r="O563" s="85"/>
      <c r="P563" s="85"/>
      <c r="Q563"/>
      <c r="R563"/>
      <c r="S563"/>
      <c r="T563"/>
    </row>
    <row r="564" spans="1:20" x14ac:dyDescent="0.3">
      <c r="A564" s="313"/>
      <c r="B564" s="313"/>
      <c r="C564" s="35" t="s">
        <v>482</v>
      </c>
      <c r="D564" s="83">
        <f>-(AG500+AG501+AG502)</f>
        <v>-214414</v>
      </c>
      <c r="E564" s="313" t="s">
        <v>46</v>
      </c>
      <c r="F564" s="58">
        <f>G564/D564</f>
        <v>53.597572919678754</v>
      </c>
      <c r="G564" s="85">
        <f>-(AI500+AI501+AI502)</f>
        <v>-11492070</v>
      </c>
      <c r="H564" s="313"/>
      <c r="I564" s="313"/>
      <c r="J564" s="313"/>
      <c r="K564" s="38"/>
      <c r="L564" s="51"/>
      <c r="M564" s="37"/>
      <c r="N564" s="61"/>
      <c r="O564" s="86"/>
      <c r="P564" s="86"/>
      <c r="Q564"/>
      <c r="R564"/>
      <c r="S564"/>
      <c r="T564"/>
    </row>
    <row r="565" spans="1:20" x14ac:dyDescent="0.3">
      <c r="A565" s="313"/>
      <c r="B565" s="313"/>
      <c r="C565" s="38" t="s">
        <v>506</v>
      </c>
      <c r="D565" s="51">
        <f>SUM(D563:D564)</f>
        <v>214286</v>
      </c>
      <c r="E565" s="37" t="s">
        <v>46</v>
      </c>
      <c r="F565" s="61">
        <f>G565/D565</f>
        <v>5.3369702173730431</v>
      </c>
      <c r="G565" s="86">
        <f>SUM(G563:G564)</f>
        <v>1143638</v>
      </c>
      <c r="H565" s="313"/>
      <c r="I565" s="313"/>
      <c r="J565" s="313"/>
      <c r="K565" s="35"/>
      <c r="L565" s="49"/>
      <c r="M565" s="313"/>
      <c r="N565" s="58"/>
      <c r="O565" s="84"/>
      <c r="P565" s="84"/>
      <c r="Q565"/>
      <c r="R565"/>
      <c r="S565"/>
      <c r="T565"/>
    </row>
    <row r="566" spans="1:20" x14ac:dyDescent="0.3">
      <c r="A566" s="313"/>
      <c r="B566" s="313"/>
      <c r="C566" s="35"/>
      <c r="D566" s="49"/>
      <c r="E566" s="313"/>
      <c r="F566" s="58"/>
      <c r="G566" s="84"/>
      <c r="H566" s="313"/>
      <c r="I566" s="313"/>
      <c r="J566" s="313"/>
      <c r="K566" s="35"/>
      <c r="L566" s="49"/>
      <c r="M566" s="313"/>
      <c r="N566" s="58"/>
      <c r="O566" s="84"/>
      <c r="P566" s="84"/>
      <c r="Q566"/>
      <c r="R566"/>
      <c r="S566"/>
      <c r="T566"/>
    </row>
    <row r="567" spans="1:20" x14ac:dyDescent="0.3">
      <c r="A567" s="313"/>
      <c r="B567" s="313"/>
      <c r="C567" s="35" t="s">
        <v>484</v>
      </c>
      <c r="D567" s="49">
        <f>G389+G428+G469</f>
        <v>77280</v>
      </c>
      <c r="E567" s="313" t="s">
        <v>46</v>
      </c>
      <c r="F567" s="58">
        <f>G567/D567</f>
        <v>48.45336847826087</v>
      </c>
      <c r="G567" s="84">
        <f>G390+G429+G470</f>
        <v>3744476.3160000001</v>
      </c>
      <c r="H567" s="313"/>
      <c r="I567" s="313"/>
      <c r="J567" s="313"/>
      <c r="K567" s="35"/>
      <c r="L567" s="49"/>
      <c r="M567" s="313"/>
      <c r="N567" s="58"/>
      <c r="O567" s="84"/>
      <c r="P567" s="84"/>
      <c r="Q567"/>
      <c r="R567"/>
      <c r="S567"/>
      <c r="T567"/>
    </row>
    <row r="568" spans="1:20" x14ac:dyDescent="0.3">
      <c r="A568" s="313"/>
      <c r="B568" s="313"/>
      <c r="C568" s="35" t="s">
        <v>485</v>
      </c>
      <c r="D568" s="49">
        <f>SUM('Hoover with 30 MW Solar'!K30:M30)</f>
        <v>16728.074233999996</v>
      </c>
      <c r="E568" s="313" t="s">
        <v>46</v>
      </c>
      <c r="F568" s="58">
        <v>24.99</v>
      </c>
      <c r="G568" s="84">
        <f>D568*F568</f>
        <v>418034.57510765985</v>
      </c>
      <c r="H568" s="313"/>
      <c r="I568" s="313"/>
      <c r="J568" s="313"/>
      <c r="K568" s="35"/>
      <c r="L568" s="49"/>
      <c r="M568" s="313"/>
      <c r="N568" s="58"/>
      <c r="O568" s="84"/>
      <c r="P568" s="84"/>
      <c r="Q568"/>
      <c r="R568"/>
      <c r="S568"/>
      <c r="T568"/>
    </row>
    <row r="569" spans="1:20" x14ac:dyDescent="0.3">
      <c r="A569" s="313"/>
      <c r="B569" s="313"/>
      <c r="C569" s="35"/>
      <c r="D569" s="49"/>
      <c r="E569" s="313"/>
      <c r="F569" s="58"/>
      <c r="G569" s="84"/>
      <c r="H569" s="313"/>
      <c r="I569" s="313"/>
      <c r="J569" s="313"/>
      <c r="K569" s="38"/>
      <c r="L569" s="51"/>
      <c r="M569" s="37"/>
      <c r="N569" s="61"/>
      <c r="O569" s="86"/>
      <c r="P569" s="86"/>
      <c r="Q569"/>
      <c r="R569"/>
      <c r="S569"/>
      <c r="T569"/>
    </row>
    <row r="570" spans="1:20" x14ac:dyDescent="0.3">
      <c r="A570" s="313"/>
      <c r="B570" s="313"/>
      <c r="C570" s="38" t="s">
        <v>507</v>
      </c>
      <c r="D570" s="51">
        <f>SUM(D565:D568)</f>
        <v>308294.074234</v>
      </c>
      <c r="E570" s="37" t="s">
        <v>46</v>
      </c>
      <c r="F570" s="61">
        <f>G570/D570</f>
        <v>17.211323001557954</v>
      </c>
      <c r="G570" s="86">
        <f>SUM(G565:G568)</f>
        <v>5306148.8911076598</v>
      </c>
      <c r="H570" s="313"/>
      <c r="I570" s="313"/>
      <c r="J570" s="313"/>
      <c r="K570" s="313"/>
      <c r="L570" s="49"/>
      <c r="M570" s="313"/>
      <c r="N570" s="313"/>
      <c r="Q570"/>
      <c r="R570"/>
      <c r="S570"/>
      <c r="T570"/>
    </row>
    <row r="571" spans="1:20" x14ac:dyDescent="0.3">
      <c r="A571" s="313"/>
      <c r="B571" s="313"/>
      <c r="C571" s="313"/>
      <c r="D571" s="49"/>
      <c r="E571" s="313"/>
      <c r="F571" s="313"/>
      <c r="G571" s="313"/>
      <c r="H571" s="313"/>
      <c r="I571" s="313"/>
      <c r="J571" s="313"/>
      <c r="K571" s="35"/>
      <c r="L571" s="49"/>
      <c r="M571" s="313"/>
      <c r="N571" s="58"/>
      <c r="O571" s="84"/>
      <c r="P571" s="84"/>
      <c r="Q571"/>
      <c r="R571"/>
      <c r="S571"/>
      <c r="T571"/>
    </row>
    <row r="572" spans="1:20" x14ac:dyDescent="0.3">
      <c r="A572" s="313"/>
      <c r="B572" s="313"/>
      <c r="C572" s="35" t="s">
        <v>487</v>
      </c>
      <c r="D572" s="49">
        <f>SUM('Hoover with 30 MW Solar'!K31:M31)</f>
        <v>28984</v>
      </c>
      <c r="E572" s="313" t="s">
        <v>46</v>
      </c>
      <c r="F572" s="58">
        <f>$H$474</f>
        <v>43.87</v>
      </c>
      <c r="G572" s="84">
        <f>D572*F572</f>
        <v>1271528.0799999998</v>
      </c>
      <c r="H572" s="313"/>
      <c r="I572" s="313"/>
      <c r="J572" s="313"/>
      <c r="K572" s="313"/>
      <c r="L572" s="313"/>
      <c r="M572" s="313"/>
      <c r="N572" s="313"/>
      <c r="Q572"/>
      <c r="R572"/>
      <c r="S572"/>
      <c r="T572"/>
    </row>
    <row r="573" spans="1:20" x14ac:dyDescent="0.3">
      <c r="A573" s="313"/>
      <c r="B573" s="313"/>
      <c r="C573" s="313"/>
      <c r="D573" s="313"/>
      <c r="E573" s="313"/>
      <c r="F573" s="313"/>
      <c r="G573" s="313"/>
      <c r="H573" s="313"/>
      <c r="I573" s="313"/>
      <c r="J573" s="313"/>
      <c r="K573" s="38"/>
      <c r="L573" s="51"/>
      <c r="M573" s="37"/>
      <c r="N573" s="90"/>
      <c r="O573" s="86"/>
      <c r="P573" s="86"/>
      <c r="Q573"/>
      <c r="R573"/>
      <c r="S573"/>
      <c r="T573"/>
    </row>
    <row r="574" spans="1:20" x14ac:dyDescent="0.3">
      <c r="A574" s="313"/>
      <c r="B574" s="313"/>
      <c r="C574" s="38" t="s">
        <v>508</v>
      </c>
      <c r="D574" s="51">
        <f>D570+D572</f>
        <v>337278.074234</v>
      </c>
      <c r="E574" s="37" t="s">
        <v>46</v>
      </c>
      <c r="F574" s="61">
        <f>G574/D574</f>
        <v>19.502237096337712</v>
      </c>
      <c r="G574" s="86">
        <f>G570+G572</f>
        <v>6577676.9711076599</v>
      </c>
      <c r="H574" s="313"/>
      <c r="I574" s="313"/>
      <c r="J574" s="313"/>
      <c r="K574" s="313"/>
      <c r="L574" s="313"/>
      <c r="M574" s="313"/>
      <c r="N574" s="313"/>
      <c r="Q574"/>
      <c r="R574"/>
      <c r="S574"/>
      <c r="T574"/>
    </row>
    <row r="575" spans="1:20" s="92" customFormat="1" x14ac:dyDescent="0.3">
      <c r="A575" s="313"/>
      <c r="B575" s="313"/>
      <c r="C575" s="38" t="s">
        <v>509</v>
      </c>
      <c r="D575" s="51">
        <f>D574*1.04</f>
        <v>350769.19720336003</v>
      </c>
      <c r="E575" s="37" t="s">
        <v>46</v>
      </c>
      <c r="F575" s="61">
        <f>F574</f>
        <v>19.502237096337712</v>
      </c>
      <c r="G575" s="86">
        <f>D575*F575</f>
        <v>6840784.0499519669</v>
      </c>
      <c r="H575" s="313"/>
      <c r="I575" s="313"/>
      <c r="J575" s="313"/>
      <c r="K575" s="313"/>
      <c r="L575" s="313"/>
      <c r="M575" s="313"/>
      <c r="N575" s="313"/>
    </row>
    <row r="576" spans="1:20" x14ac:dyDescent="0.3">
      <c r="A576" s="313"/>
      <c r="B576" s="313"/>
      <c r="C576" s="313"/>
      <c r="D576" s="313"/>
      <c r="E576" s="313"/>
      <c r="F576" s="313"/>
      <c r="G576" s="313"/>
      <c r="H576" s="313"/>
      <c r="I576" s="313"/>
      <c r="J576" s="313"/>
      <c r="K576" s="313"/>
      <c r="L576" s="313"/>
      <c r="M576" s="37"/>
      <c r="N576" s="313"/>
      <c r="Q576"/>
      <c r="R576"/>
      <c r="S576"/>
      <c r="T576"/>
    </row>
    <row r="577" spans="1:20" x14ac:dyDescent="0.3">
      <c r="A577" s="313"/>
      <c r="B577" s="313"/>
      <c r="C577" s="313"/>
      <c r="D577" s="313"/>
      <c r="E577" s="37" t="s">
        <v>510</v>
      </c>
      <c r="F577" s="313"/>
      <c r="G577" s="313"/>
      <c r="H577" s="313"/>
      <c r="I577" s="313"/>
      <c r="J577" s="313"/>
      <c r="K577" s="35"/>
      <c r="L577" s="49"/>
      <c r="M577" s="313"/>
      <c r="N577" s="58"/>
      <c r="O577" s="84"/>
      <c r="P577" s="84"/>
      <c r="Q577"/>
      <c r="R577"/>
      <c r="S577"/>
      <c r="T577"/>
    </row>
    <row r="578" spans="1:20" x14ac:dyDescent="0.3">
      <c r="A578" s="313"/>
      <c r="B578" s="313"/>
      <c r="C578" s="35" t="s">
        <v>161</v>
      </c>
      <c r="D578" s="49">
        <f>SUM(D518,D533,D548,D563)</f>
        <v>1739731</v>
      </c>
      <c r="E578" s="313" t="s">
        <v>46</v>
      </c>
      <c r="F578" s="58">
        <f>G578/D578</f>
        <v>33.514685431253454</v>
      </c>
      <c r="G578" s="84">
        <f>SUM(G518,G533,G548,G563)</f>
        <v>58306537.200000003</v>
      </c>
      <c r="H578" s="313"/>
      <c r="I578" s="313"/>
      <c r="J578" s="313"/>
      <c r="K578" s="35"/>
      <c r="L578" s="83"/>
      <c r="M578" s="313"/>
      <c r="N578" s="58"/>
      <c r="O578" s="85"/>
      <c r="P578" s="85"/>
      <c r="Q578"/>
      <c r="R578"/>
      <c r="S578"/>
      <c r="T578"/>
    </row>
    <row r="579" spans="1:20" x14ac:dyDescent="0.3">
      <c r="A579" s="313"/>
      <c r="B579" s="313"/>
      <c r="C579" s="35" t="s">
        <v>482</v>
      </c>
      <c r="D579" s="83">
        <f>SUM(D519,D534,D549,D564)</f>
        <v>-418631</v>
      </c>
      <c r="E579" s="313" t="s">
        <v>46</v>
      </c>
      <c r="F579" s="58">
        <f>G579/D579</f>
        <v>83.896044487866405</v>
      </c>
      <c r="G579" s="85">
        <f>SUM(G519,G534,G549,G564)</f>
        <v>-35121485</v>
      </c>
      <c r="H579" s="313"/>
      <c r="I579" s="313"/>
      <c r="J579" s="313"/>
      <c r="K579" s="38"/>
      <c r="L579" s="51"/>
      <c r="M579" s="37"/>
      <c r="N579" s="61"/>
      <c r="O579" s="86"/>
      <c r="P579" s="86"/>
      <c r="Q579"/>
      <c r="R579"/>
      <c r="S579"/>
      <c r="T579"/>
    </row>
    <row r="580" spans="1:20" x14ac:dyDescent="0.3">
      <c r="A580" s="313"/>
      <c r="B580" s="313"/>
      <c r="C580" s="38" t="s">
        <v>483</v>
      </c>
      <c r="D580" s="51">
        <f>SUM(D578:D579)</f>
        <v>1321100</v>
      </c>
      <c r="E580" s="37" t="s">
        <v>46</v>
      </c>
      <c r="F580" s="61">
        <f>G580/D580</f>
        <v>17.549808644311561</v>
      </c>
      <c r="G580" s="86">
        <f>SUM(G578:G579)</f>
        <v>23185052.200000003</v>
      </c>
      <c r="H580" s="313"/>
      <c r="I580" s="313"/>
      <c r="J580" s="313"/>
      <c r="K580" s="35"/>
      <c r="L580" s="49"/>
      <c r="M580" s="313"/>
      <c r="N580" s="58"/>
      <c r="O580" s="84"/>
      <c r="P580" s="84"/>
      <c r="Q580"/>
      <c r="R580"/>
      <c r="S580"/>
      <c r="T580"/>
    </row>
    <row r="581" spans="1:20" x14ac:dyDescent="0.3">
      <c r="A581" s="313"/>
      <c r="B581" s="313"/>
      <c r="C581" s="35"/>
      <c r="D581" s="49"/>
      <c r="E581" s="313"/>
      <c r="F581" s="58"/>
      <c r="G581" s="84"/>
      <c r="H581" s="313"/>
      <c r="I581" s="313"/>
      <c r="J581" s="313"/>
      <c r="K581" s="35"/>
      <c r="L581" s="49"/>
      <c r="M581" s="313"/>
      <c r="N581" s="58"/>
      <c r="O581" s="84"/>
      <c r="P581" s="84"/>
      <c r="Q581"/>
      <c r="R581"/>
      <c r="S581"/>
      <c r="T581"/>
    </row>
    <row r="582" spans="1:20" x14ac:dyDescent="0.3">
      <c r="A582" s="313"/>
      <c r="B582" s="313"/>
      <c r="C582" s="35" t="s">
        <v>484</v>
      </c>
      <c r="D582" s="49">
        <f>SUM(D522,D537,D552,D567)</f>
        <v>306600</v>
      </c>
      <c r="E582" s="313" t="s">
        <v>46</v>
      </c>
      <c r="F582" s="58">
        <f>G582/D582</f>
        <v>48.452830428082194</v>
      </c>
      <c r="G582" s="84">
        <f>SUM(G522,G537,G552,G567)</f>
        <v>14855637.809250001</v>
      </c>
      <c r="H582" s="313"/>
      <c r="I582" s="313"/>
      <c r="J582" s="313"/>
      <c r="K582" s="35"/>
      <c r="L582" s="49"/>
      <c r="M582" s="313"/>
      <c r="N582" s="58"/>
      <c r="O582" s="84"/>
      <c r="P582" s="84"/>
      <c r="Q582"/>
      <c r="R582"/>
      <c r="S582"/>
      <c r="T582"/>
    </row>
    <row r="583" spans="1:20" x14ac:dyDescent="0.3">
      <c r="A583" s="313"/>
      <c r="B583" s="313"/>
      <c r="C583" s="35" t="s">
        <v>485</v>
      </c>
      <c r="D583" s="49">
        <f>SUM(D523,D538,D553,D568)</f>
        <v>89413.111449999997</v>
      </c>
      <c r="E583" s="313" t="s">
        <v>46</v>
      </c>
      <c r="F583" s="58">
        <v>24.99</v>
      </c>
      <c r="G583" s="84">
        <f>D583*F583</f>
        <v>2234433.6551354998</v>
      </c>
      <c r="H583" s="313"/>
      <c r="I583" s="313"/>
      <c r="J583" s="313"/>
      <c r="K583" s="35"/>
      <c r="L583" s="49"/>
      <c r="M583" s="313"/>
      <c r="N583" s="58"/>
      <c r="O583" s="84"/>
      <c r="P583" s="84"/>
      <c r="Q583"/>
      <c r="R583"/>
      <c r="S583"/>
      <c r="T583"/>
    </row>
    <row r="584" spans="1:20" x14ac:dyDescent="0.3">
      <c r="A584" s="313"/>
      <c r="B584" s="313"/>
      <c r="C584" s="35"/>
      <c r="D584" s="49"/>
      <c r="E584" s="313"/>
      <c r="F584" s="58"/>
      <c r="G584" s="84"/>
      <c r="H584" s="313"/>
      <c r="I584" s="313"/>
      <c r="J584" s="313"/>
      <c r="K584" s="38"/>
      <c r="L584" s="51"/>
      <c r="M584" s="37"/>
      <c r="N584" s="61"/>
      <c r="O584" s="86"/>
      <c r="P584" s="86"/>
      <c r="Q584"/>
      <c r="R584"/>
      <c r="S584"/>
      <c r="T584"/>
    </row>
    <row r="585" spans="1:20" x14ac:dyDescent="0.3">
      <c r="A585" s="313"/>
      <c r="B585" s="313"/>
      <c r="C585" s="38" t="s">
        <v>486</v>
      </c>
      <c r="D585" s="51">
        <f>SUM(D580:D583)</f>
        <v>1717113.11145</v>
      </c>
      <c r="E585" s="37" t="s">
        <v>46</v>
      </c>
      <c r="F585" s="61">
        <f>G585/D585</f>
        <v>23.455137227608464</v>
      </c>
      <c r="G585" s="86">
        <f>SUM(G580:G583)</f>
        <v>40275123.664385498</v>
      </c>
      <c r="H585" s="313"/>
      <c r="I585" s="313"/>
      <c r="J585" s="313"/>
      <c r="K585" s="313"/>
      <c r="L585" s="49"/>
      <c r="M585" s="313"/>
      <c r="N585" s="313"/>
      <c r="Q585"/>
      <c r="R585"/>
      <c r="S585"/>
      <c r="T585"/>
    </row>
    <row r="586" spans="1:20" x14ac:dyDescent="0.3">
      <c r="A586" s="313"/>
      <c r="B586" s="313"/>
      <c r="C586" s="313"/>
      <c r="D586" s="49"/>
      <c r="E586" s="313"/>
      <c r="F586" s="313"/>
      <c r="G586" s="313"/>
      <c r="H586" s="313"/>
      <c r="I586" s="313"/>
      <c r="J586" s="313"/>
      <c r="K586" s="35"/>
      <c r="L586" s="49"/>
      <c r="M586" s="313"/>
      <c r="N586" s="58"/>
      <c r="O586" s="84"/>
      <c r="P586" s="84"/>
      <c r="Q586"/>
      <c r="R586"/>
      <c r="S586"/>
      <c r="T586"/>
    </row>
    <row r="587" spans="1:20" x14ac:dyDescent="0.3">
      <c r="A587" s="313"/>
      <c r="B587" s="313"/>
      <c r="C587" s="35" t="s">
        <v>487</v>
      </c>
      <c r="D587" s="49">
        <f>SUM(D527,D542,D557,D572)</f>
        <v>127652</v>
      </c>
      <c r="E587" s="313" t="s">
        <v>46</v>
      </c>
      <c r="F587" s="58">
        <f>$H$474</f>
        <v>43.87</v>
      </c>
      <c r="G587" s="84">
        <f>D587*F587</f>
        <v>5600093.2399999993</v>
      </c>
      <c r="H587" s="313"/>
      <c r="I587" s="313"/>
      <c r="J587" s="313"/>
      <c r="K587" s="313"/>
      <c r="L587" s="313"/>
      <c r="M587" s="313"/>
      <c r="N587" s="313"/>
      <c r="Q587"/>
      <c r="R587"/>
      <c r="S587"/>
      <c r="T587"/>
    </row>
    <row r="588" spans="1:20" x14ac:dyDescent="0.3">
      <c r="A588" s="313"/>
      <c r="B588" s="313"/>
      <c r="C588" s="313"/>
      <c r="D588" s="313"/>
      <c r="E588" s="313"/>
      <c r="F588" s="313"/>
      <c r="G588" s="313"/>
      <c r="H588" s="313"/>
      <c r="I588" s="313"/>
      <c r="J588" s="313"/>
      <c r="K588" s="38"/>
      <c r="L588" s="51"/>
      <c r="M588" s="37"/>
      <c r="N588" s="90"/>
      <c r="O588" s="86"/>
      <c r="P588" s="86"/>
      <c r="Q588"/>
      <c r="R588"/>
      <c r="S588"/>
      <c r="T588"/>
    </row>
    <row r="589" spans="1:20" x14ac:dyDescent="0.3">
      <c r="A589" s="313"/>
      <c r="B589" s="313"/>
      <c r="C589" s="38" t="s">
        <v>488</v>
      </c>
      <c r="D589" s="51">
        <f>D585+D587</f>
        <v>1844765.11145</v>
      </c>
      <c r="E589" s="37" t="s">
        <v>46</v>
      </c>
      <c r="F589" s="61">
        <f>G589/D589</f>
        <v>24.867782147249748</v>
      </c>
      <c r="G589" s="86">
        <f>G585+G587</f>
        <v>45875216.9043855</v>
      </c>
      <c r="H589" s="313"/>
      <c r="I589" s="313"/>
      <c r="J589" s="313"/>
      <c r="K589" s="313"/>
      <c r="L589" s="313"/>
      <c r="M589" s="313"/>
      <c r="N589" s="313"/>
      <c r="O589"/>
      <c r="Q589"/>
      <c r="R589"/>
      <c r="S589"/>
      <c r="T589"/>
    </row>
    <row r="590" spans="1:20" x14ac:dyDescent="0.3">
      <c r="A590" s="313"/>
      <c r="B590" s="313"/>
      <c r="C590" s="38" t="s">
        <v>489</v>
      </c>
      <c r="D590" s="51">
        <f>D589*1.04</f>
        <v>1918555.715908</v>
      </c>
      <c r="E590" s="37" t="s">
        <v>46</v>
      </c>
      <c r="F590" s="61">
        <f>F589</f>
        <v>24.867782147249748</v>
      </c>
      <c r="G590" s="86">
        <f>D590*F590</f>
        <v>47710225.580560923</v>
      </c>
      <c r="H590" s="313"/>
      <c r="I590" s="313"/>
      <c r="J590" s="313"/>
      <c r="K590" s="313"/>
      <c r="L590" s="313"/>
      <c r="M590" s="37"/>
      <c r="N590" s="313"/>
      <c r="Q590"/>
      <c r="R590"/>
      <c r="S590"/>
      <c r="T590"/>
    </row>
    <row r="591" spans="1:20" x14ac:dyDescent="0.3">
      <c r="A591" s="313"/>
      <c r="B591" s="313"/>
      <c r="C591" s="313"/>
      <c r="D591" s="313"/>
      <c r="E591" s="313"/>
      <c r="F591" s="313"/>
      <c r="G591" s="313"/>
      <c r="H591" s="313"/>
      <c r="I591" s="313"/>
      <c r="J591" s="313"/>
      <c r="K591" s="88"/>
      <c r="L591" s="49"/>
      <c r="M591" s="313"/>
      <c r="N591" s="58"/>
      <c r="O591" s="84"/>
      <c r="P591" s="84"/>
      <c r="Q591"/>
      <c r="R591"/>
      <c r="S591"/>
      <c r="T591"/>
    </row>
    <row r="592" spans="1:20" x14ac:dyDescent="0.3">
      <c r="I592" s="92"/>
      <c r="J592" s="92"/>
      <c r="K592" s="88"/>
      <c r="L592" s="83"/>
      <c r="M592" s="92"/>
      <c r="N592" s="58"/>
      <c r="O592" s="85"/>
      <c r="P592" s="85"/>
      <c r="Q592"/>
      <c r="R592"/>
      <c r="S592"/>
      <c r="T592"/>
    </row>
    <row r="593" spans="9:20" x14ac:dyDescent="0.3">
      <c r="I593" s="92"/>
      <c r="J593" s="92"/>
      <c r="K593" s="38"/>
      <c r="L593" s="51"/>
      <c r="M593" s="37"/>
      <c r="N593" s="61"/>
      <c r="O593" s="86"/>
      <c r="P593" s="86"/>
      <c r="Q593"/>
      <c r="R593"/>
      <c r="S593"/>
      <c r="T593"/>
    </row>
    <row r="594" spans="9:20" x14ac:dyDescent="0.3">
      <c r="I594" s="92"/>
      <c r="J594" s="92"/>
      <c r="K594" s="35"/>
      <c r="L594" s="49"/>
      <c r="M594" s="92"/>
      <c r="N594" s="58"/>
      <c r="O594" s="84"/>
      <c r="P594" s="84"/>
      <c r="Q594"/>
      <c r="R594"/>
      <c r="S594"/>
      <c r="T594"/>
    </row>
    <row r="595" spans="9:20" x14ac:dyDescent="0.3">
      <c r="I595" s="92"/>
      <c r="J595" s="92"/>
      <c r="K595" s="35"/>
      <c r="L595" s="49"/>
      <c r="M595" s="92"/>
      <c r="N595" s="58"/>
      <c r="O595" s="84"/>
      <c r="P595" s="84"/>
      <c r="Q595"/>
      <c r="R595"/>
      <c r="S595"/>
      <c r="T595"/>
    </row>
    <row r="596" spans="9:20" x14ac:dyDescent="0.3">
      <c r="I596" s="92"/>
      <c r="J596" s="92"/>
      <c r="K596" s="35"/>
      <c r="L596" s="49"/>
      <c r="M596" s="92"/>
      <c r="N596" s="58"/>
      <c r="O596" s="84"/>
      <c r="P596" s="84"/>
      <c r="Q596"/>
      <c r="R596"/>
      <c r="S596"/>
      <c r="T596"/>
    </row>
    <row r="597" spans="9:20" x14ac:dyDescent="0.3">
      <c r="I597" s="92"/>
      <c r="J597" s="92"/>
      <c r="K597" s="35"/>
      <c r="L597" s="49"/>
      <c r="M597" s="92"/>
      <c r="N597" s="58"/>
      <c r="O597" s="84"/>
      <c r="P597" s="84"/>
      <c r="Q597"/>
      <c r="R597"/>
      <c r="S597"/>
      <c r="T597"/>
    </row>
    <row r="598" spans="9:20" x14ac:dyDescent="0.3">
      <c r="I598" s="92"/>
      <c r="J598" s="92"/>
      <c r="K598" s="38"/>
      <c r="L598" s="51"/>
      <c r="M598" s="37"/>
      <c r="N598" s="61"/>
      <c r="O598" s="86"/>
      <c r="P598" s="86"/>
      <c r="Q598"/>
      <c r="R598"/>
      <c r="S598"/>
      <c r="T598"/>
    </row>
    <row r="599" spans="9:20" x14ac:dyDescent="0.3">
      <c r="I599" s="92"/>
      <c r="J599" s="92"/>
      <c r="K599" s="92"/>
      <c r="L599" s="49"/>
      <c r="M599" s="92"/>
      <c r="N599" s="53"/>
      <c r="Q599"/>
      <c r="R599"/>
      <c r="S599"/>
      <c r="T599"/>
    </row>
    <row r="600" spans="9:20" x14ac:dyDescent="0.3">
      <c r="I600" s="92"/>
      <c r="J600" s="92"/>
      <c r="K600" s="35"/>
      <c r="L600" s="49"/>
      <c r="M600" s="92"/>
      <c r="N600" s="58"/>
      <c r="O600" s="84"/>
      <c r="P600" s="84"/>
      <c r="Q600"/>
      <c r="R600"/>
      <c r="S600"/>
      <c r="T600"/>
    </row>
    <row r="601" spans="9:20" x14ac:dyDescent="0.3">
      <c r="I601" s="92"/>
      <c r="J601" s="92"/>
      <c r="K601" s="92"/>
      <c r="L601" s="92"/>
      <c r="M601" s="92"/>
      <c r="N601" s="92"/>
      <c r="Q601"/>
      <c r="R601"/>
      <c r="S601"/>
      <c r="T601"/>
    </row>
    <row r="602" spans="9:20" x14ac:dyDescent="0.3">
      <c r="I602" s="92"/>
      <c r="J602" s="92"/>
      <c r="K602" s="38"/>
      <c r="L602" s="51"/>
      <c r="M602" s="37"/>
      <c r="N602" s="90"/>
      <c r="O602" s="86"/>
      <c r="P602" s="86"/>
      <c r="Q602"/>
      <c r="R602"/>
      <c r="S602"/>
      <c r="T602"/>
    </row>
    <row r="603" spans="9:20" x14ac:dyDescent="0.3">
      <c r="O603"/>
      <c r="Q603"/>
      <c r="R603"/>
      <c r="S603"/>
      <c r="T603"/>
    </row>
    <row r="604" spans="9:20" x14ac:dyDescent="0.3">
      <c r="O604"/>
      <c r="Q604"/>
      <c r="R604"/>
      <c r="S604"/>
      <c r="T604"/>
    </row>
    <row r="605" spans="9:20" x14ac:dyDescent="0.3">
      <c r="O605"/>
      <c r="Q605"/>
      <c r="R605"/>
      <c r="S605"/>
      <c r="T605"/>
    </row>
    <row r="606" spans="9:20" x14ac:dyDescent="0.3">
      <c r="O606"/>
      <c r="Q606"/>
      <c r="R606"/>
      <c r="S606"/>
      <c r="T606"/>
    </row>
    <row r="607" spans="9:20" x14ac:dyDescent="0.3">
      <c r="O607"/>
      <c r="Q607"/>
      <c r="R607"/>
      <c r="S607"/>
      <c r="T607"/>
    </row>
    <row r="608" spans="9:20" x14ac:dyDescent="0.3">
      <c r="O608"/>
      <c r="Q608"/>
      <c r="R608"/>
      <c r="S608"/>
      <c r="T608"/>
    </row>
    <row r="609" spans="16:16" customFormat="1" x14ac:dyDescent="0.3">
      <c r="P609" s="92"/>
    </row>
    <row r="610" spans="16:16" customFormat="1" x14ac:dyDescent="0.3">
      <c r="P610" s="92"/>
    </row>
    <row r="611" spans="16:16" customFormat="1" x14ac:dyDescent="0.3">
      <c r="P611" s="92"/>
    </row>
    <row r="612" spans="16:16" customFormat="1" x14ac:dyDescent="0.3">
      <c r="P612" s="92"/>
    </row>
    <row r="613" spans="16:16" customFormat="1" x14ac:dyDescent="0.3">
      <c r="P613" s="92"/>
    </row>
    <row r="614" spans="16:16" customFormat="1" x14ac:dyDescent="0.3">
      <c r="P614" s="92"/>
    </row>
    <row r="615" spans="16:16" customFormat="1" x14ac:dyDescent="0.3">
      <c r="P615" s="92"/>
    </row>
    <row r="616" spans="16:16" customFormat="1" x14ac:dyDescent="0.3">
      <c r="P616" s="92"/>
    </row>
    <row r="617" spans="16:16" customFormat="1" x14ac:dyDescent="0.3">
      <c r="P617" s="92"/>
    </row>
    <row r="618" spans="16:16" customFormat="1" x14ac:dyDescent="0.3">
      <c r="P618" s="92"/>
    </row>
    <row r="619" spans="16:16" customFormat="1" x14ac:dyDescent="0.3">
      <c r="P619" s="92"/>
    </row>
    <row r="620" spans="16:16" customFormat="1" x14ac:dyDescent="0.3">
      <c r="P620" s="92"/>
    </row>
    <row r="621" spans="16:16" customFormat="1" x14ac:dyDescent="0.3">
      <c r="P621" s="92"/>
    </row>
    <row r="622" spans="16:16" customFormat="1" x14ac:dyDescent="0.3">
      <c r="P622" s="92"/>
    </row>
    <row r="623" spans="16:16" customFormat="1" x14ac:dyDescent="0.3">
      <c r="P623" s="92"/>
    </row>
    <row r="624" spans="16:16" customFormat="1" x14ac:dyDescent="0.3">
      <c r="P624" s="92"/>
    </row>
    <row r="625" spans="16:16" customFormat="1" x14ac:dyDescent="0.3">
      <c r="P625" s="92"/>
    </row>
    <row r="626" spans="16:16" customFormat="1" x14ac:dyDescent="0.3">
      <c r="P626" s="92"/>
    </row>
    <row r="627" spans="16:16" customFormat="1" x14ac:dyDescent="0.3">
      <c r="P627" s="92"/>
    </row>
    <row r="628" spans="16:16" customFormat="1" x14ac:dyDescent="0.3">
      <c r="P628" s="92"/>
    </row>
    <row r="629" spans="16:16" customFormat="1" x14ac:dyDescent="0.3">
      <c r="P629" s="92"/>
    </row>
    <row r="630" spans="16:16" customFormat="1" x14ac:dyDescent="0.3">
      <c r="P630" s="92"/>
    </row>
    <row r="631" spans="16:16" customFormat="1" x14ac:dyDescent="0.3">
      <c r="P631" s="92"/>
    </row>
    <row r="632" spans="16:16" customFormat="1" x14ac:dyDescent="0.3">
      <c r="P632" s="92"/>
    </row>
    <row r="633" spans="16:16" customFormat="1" x14ac:dyDescent="0.3">
      <c r="P633" s="92"/>
    </row>
    <row r="634" spans="16:16" customFormat="1" x14ac:dyDescent="0.3">
      <c r="P634" s="92"/>
    </row>
    <row r="635" spans="16:16" customFormat="1" x14ac:dyDescent="0.3">
      <c r="P635" s="92"/>
    </row>
    <row r="636" spans="16:16" customFormat="1" x14ac:dyDescent="0.3">
      <c r="P636" s="92"/>
    </row>
    <row r="637" spans="16:16" customFormat="1" x14ac:dyDescent="0.3">
      <c r="P637" s="92"/>
    </row>
    <row r="638" spans="16:16" customFormat="1" x14ac:dyDescent="0.3">
      <c r="P638" s="92"/>
    </row>
    <row r="639" spans="16:16" customFormat="1" x14ac:dyDescent="0.3">
      <c r="P639" s="92"/>
    </row>
    <row r="640" spans="16:16" customFormat="1" x14ac:dyDescent="0.3">
      <c r="P640" s="92"/>
    </row>
    <row r="641" spans="16:16" customFormat="1" x14ac:dyDescent="0.3">
      <c r="P641" s="92"/>
    </row>
    <row r="642" spans="16:16" customFormat="1" x14ac:dyDescent="0.3">
      <c r="P642" s="92"/>
    </row>
    <row r="643" spans="16:16" customFormat="1" x14ac:dyDescent="0.3">
      <c r="P643" s="92"/>
    </row>
    <row r="644" spans="16:16" customFormat="1" x14ac:dyDescent="0.3">
      <c r="P644" s="92"/>
    </row>
    <row r="645" spans="16:16" customFormat="1" x14ac:dyDescent="0.3">
      <c r="P645" s="92"/>
    </row>
    <row r="646" spans="16:16" customFormat="1" x14ac:dyDescent="0.3">
      <c r="P646" s="92"/>
    </row>
    <row r="647" spans="16:16" customFormat="1" x14ac:dyDescent="0.3">
      <c r="P647" s="92"/>
    </row>
    <row r="648" spans="16:16" customFormat="1" x14ac:dyDescent="0.3">
      <c r="P648" s="92"/>
    </row>
    <row r="649" spans="16:16" customFormat="1" x14ac:dyDescent="0.3">
      <c r="P649" s="92"/>
    </row>
    <row r="650" spans="16:16" customFormat="1" x14ac:dyDescent="0.3">
      <c r="P650" s="92"/>
    </row>
    <row r="651" spans="16:16" customFormat="1" x14ac:dyDescent="0.3">
      <c r="P651" s="92"/>
    </row>
    <row r="652" spans="16:16" customFormat="1" x14ac:dyDescent="0.3">
      <c r="P652" s="92"/>
    </row>
    <row r="653" spans="16:16" customFormat="1" x14ac:dyDescent="0.3">
      <c r="P653" s="92"/>
    </row>
    <row r="654" spans="16:16" customFormat="1" x14ac:dyDescent="0.3">
      <c r="P654" s="92"/>
    </row>
    <row r="655" spans="16:16" customFormat="1" x14ac:dyDescent="0.3">
      <c r="P655" s="92"/>
    </row>
    <row r="656" spans="16:16" customFormat="1" x14ac:dyDescent="0.3">
      <c r="P656" s="92"/>
    </row>
    <row r="657" spans="16:16" customFormat="1" x14ac:dyDescent="0.3">
      <c r="P657" s="92"/>
    </row>
    <row r="658" spans="16:16" customFormat="1" x14ac:dyDescent="0.3">
      <c r="P658" s="92"/>
    </row>
    <row r="659" spans="16:16" customFormat="1" x14ac:dyDescent="0.3">
      <c r="P659" s="92"/>
    </row>
    <row r="660" spans="16:16" customFormat="1" x14ac:dyDescent="0.3">
      <c r="P660" s="92"/>
    </row>
    <row r="661" spans="16:16" customFormat="1" x14ac:dyDescent="0.3">
      <c r="P661" s="92"/>
    </row>
    <row r="662" spans="16:16" customFormat="1" x14ac:dyDescent="0.3">
      <c r="P662" s="92"/>
    </row>
    <row r="663" spans="16:16" customFormat="1" x14ac:dyDescent="0.3">
      <c r="P663" s="92"/>
    </row>
    <row r="664" spans="16:16" customFormat="1" x14ac:dyDescent="0.3">
      <c r="P664" s="92"/>
    </row>
    <row r="665" spans="16:16" customFormat="1" x14ac:dyDescent="0.3">
      <c r="P665" s="92"/>
    </row>
    <row r="666" spans="16:16" customFormat="1" x14ac:dyDescent="0.3">
      <c r="P666" s="92"/>
    </row>
    <row r="667" spans="16:16" customFormat="1" x14ac:dyDescent="0.3">
      <c r="P667" s="92"/>
    </row>
    <row r="668" spans="16:16" customFormat="1" x14ac:dyDescent="0.3">
      <c r="P668" s="92"/>
    </row>
    <row r="669" spans="16:16" customFormat="1" x14ac:dyDescent="0.3">
      <c r="P669" s="92"/>
    </row>
    <row r="670" spans="16:16" customFormat="1" x14ac:dyDescent="0.3">
      <c r="P670" s="92"/>
    </row>
    <row r="671" spans="16:16" customFormat="1" x14ac:dyDescent="0.3">
      <c r="P671" s="92"/>
    </row>
    <row r="672" spans="16:16" customFormat="1" x14ac:dyDescent="0.3">
      <c r="P672" s="92"/>
    </row>
    <row r="673" spans="16:16" customFormat="1" x14ac:dyDescent="0.3">
      <c r="P673" s="92"/>
    </row>
    <row r="674" spans="16:16" customFormat="1" x14ac:dyDescent="0.3">
      <c r="P674" s="92"/>
    </row>
    <row r="675" spans="16:16" customFormat="1" x14ac:dyDescent="0.3">
      <c r="P675" s="92"/>
    </row>
    <row r="676" spans="16:16" customFormat="1" x14ac:dyDescent="0.3">
      <c r="P676" s="92"/>
    </row>
    <row r="677" spans="16:16" customFormat="1" x14ac:dyDescent="0.3">
      <c r="P677" s="92"/>
    </row>
    <row r="678" spans="16:16" customFormat="1" x14ac:dyDescent="0.3">
      <c r="P678" s="92"/>
    </row>
    <row r="679" spans="16:16" customFormat="1" x14ac:dyDescent="0.3">
      <c r="P679" s="92"/>
    </row>
    <row r="680" spans="16:16" customFormat="1" x14ac:dyDescent="0.3">
      <c r="P680" s="92"/>
    </row>
    <row r="681" spans="16:16" customFormat="1" x14ac:dyDescent="0.3">
      <c r="P681" s="92"/>
    </row>
    <row r="682" spans="16:16" customFormat="1" x14ac:dyDescent="0.3">
      <c r="P682" s="92"/>
    </row>
    <row r="683" spans="16:16" customFormat="1" x14ac:dyDescent="0.3">
      <c r="P683" s="92"/>
    </row>
    <row r="684" spans="16:16" customFormat="1" x14ac:dyDescent="0.3">
      <c r="P684" s="92"/>
    </row>
    <row r="685" spans="16:16" customFormat="1" x14ac:dyDescent="0.3">
      <c r="P685" s="92"/>
    </row>
    <row r="686" spans="16:16" customFormat="1" x14ac:dyDescent="0.3">
      <c r="P686" s="92"/>
    </row>
    <row r="687" spans="16:16" customFormat="1" x14ac:dyDescent="0.3">
      <c r="P687" s="92"/>
    </row>
    <row r="688" spans="16:16" customFormat="1" x14ac:dyDescent="0.3">
      <c r="P688" s="92"/>
    </row>
    <row r="689" spans="16:16" customFormat="1" x14ac:dyDescent="0.3">
      <c r="P689" s="92"/>
    </row>
    <row r="690" spans="16:16" customFormat="1" x14ac:dyDescent="0.3">
      <c r="P690" s="92"/>
    </row>
    <row r="691" spans="16:16" customFormat="1" x14ac:dyDescent="0.3">
      <c r="P691" s="92"/>
    </row>
    <row r="692" spans="16:16" customFormat="1" x14ac:dyDescent="0.3">
      <c r="P692" s="92"/>
    </row>
    <row r="693" spans="16:16" customFormat="1" x14ac:dyDescent="0.3">
      <c r="P693" s="92"/>
    </row>
    <row r="694" spans="16:16" customFormat="1" x14ac:dyDescent="0.3">
      <c r="P694" s="92"/>
    </row>
    <row r="695" spans="16:16" customFormat="1" x14ac:dyDescent="0.3">
      <c r="P695" s="92"/>
    </row>
    <row r="696" spans="16:16" customFormat="1" x14ac:dyDescent="0.3">
      <c r="P696" s="92"/>
    </row>
    <row r="697" spans="16:16" customFormat="1" x14ac:dyDescent="0.3">
      <c r="P697" s="92"/>
    </row>
    <row r="698" spans="16:16" customFormat="1" x14ac:dyDescent="0.3">
      <c r="P698" s="92"/>
    </row>
  </sheetData>
  <mergeCells count="24">
    <mergeCell ref="BD398:BF398"/>
    <mergeCell ref="BD439:BF439"/>
    <mergeCell ref="Z398:AA398"/>
    <mergeCell ref="Z439:AA439"/>
    <mergeCell ref="Z2:AB2"/>
    <mergeCell ref="Z42:AB42"/>
    <mergeCell ref="Z82:AB82"/>
    <mergeCell ref="Z242:AB242"/>
    <mergeCell ref="Z122:AB122"/>
    <mergeCell ref="Z162:AB162"/>
    <mergeCell ref="Z203:AB203"/>
    <mergeCell ref="Z281:AB281"/>
    <mergeCell ref="BD2:BF2"/>
    <mergeCell ref="BD42:BF42"/>
    <mergeCell ref="BD82:BF82"/>
    <mergeCell ref="Z320:AA320"/>
    <mergeCell ref="Z359:AA359"/>
    <mergeCell ref="BD122:BF122"/>
    <mergeCell ref="BD162:BF162"/>
    <mergeCell ref="BD203:BF203"/>
    <mergeCell ref="BD242:BF242"/>
    <mergeCell ref="BD281:BF281"/>
    <mergeCell ref="BD320:BF320"/>
    <mergeCell ref="BD359:BF35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H29"/>
  <sheetViews>
    <sheetView workbookViewId="0">
      <selection activeCell="I14" sqref="I14"/>
    </sheetView>
  </sheetViews>
  <sheetFormatPr defaultColWidth="9.109375" defaultRowHeight="14.4" x14ac:dyDescent="0.3"/>
  <cols>
    <col min="1" max="1" width="18.44140625" style="92" customWidth="1"/>
    <col min="2" max="2" width="14.33203125" style="92" customWidth="1"/>
    <col min="3" max="3" width="15.109375" style="92" customWidth="1"/>
    <col min="4" max="4" width="14.109375" style="92" customWidth="1"/>
    <col min="5" max="5" width="10.6640625" style="92" customWidth="1"/>
    <col min="6" max="6" width="11.33203125" style="92" customWidth="1"/>
    <col min="7" max="16384" width="9.109375" style="92"/>
  </cols>
  <sheetData>
    <row r="4" spans="1:8" x14ac:dyDescent="0.3">
      <c r="A4" s="92" t="s">
        <v>231</v>
      </c>
      <c r="B4" s="92" t="s">
        <v>100</v>
      </c>
      <c r="C4" s="92" t="s">
        <v>232</v>
      </c>
    </row>
    <row r="5" spans="1:8" x14ac:dyDescent="0.3">
      <c r="A5" s="92" t="s">
        <v>167</v>
      </c>
      <c r="B5" s="49">
        <f>'Hoover with 30 MW Solar'!N31</f>
        <v>127652</v>
      </c>
      <c r="C5" s="119">
        <f>B5/B$11</f>
        <v>5.6398435675592926E-2</v>
      </c>
    </row>
    <row r="6" spans="1:8" x14ac:dyDescent="0.3">
      <c r="A6" s="92" t="s">
        <v>166</v>
      </c>
      <c r="B6" s="49">
        <f>'Hoover with 30 MW Solar'!N28</f>
        <v>89413.111449999968</v>
      </c>
      <c r="C6" s="119">
        <f t="shared" ref="C6:C11" si="0">B6/B$11</f>
        <v>3.9503960883240721E-2</v>
      </c>
    </row>
    <row r="7" spans="1:8" x14ac:dyDescent="0.3">
      <c r="A7" s="92" t="s">
        <v>3</v>
      </c>
      <c r="B7" s="81">
        <f>'2022'!G475</f>
        <v>306600</v>
      </c>
      <c r="C7" s="119">
        <f t="shared" si="0"/>
        <v>0.13546016026491392</v>
      </c>
    </row>
    <row r="8" spans="1:8" x14ac:dyDescent="0.3">
      <c r="A8" s="92" t="s">
        <v>233</v>
      </c>
      <c r="B8" s="31">
        <f>SUM('2022'!M37,'2022'!M77,'2022'!M117,'2022'!M157,'2022'!M197,'2022'!M238,'2022'!M277,'2022'!M316,'2022'!M355,'2022'!M394,'2022'!M433,'2022'!M474)</f>
        <v>1061760</v>
      </c>
      <c r="C8" s="119">
        <f t="shared" si="0"/>
        <v>0.4691003906160307</v>
      </c>
    </row>
    <row r="9" spans="1:8" x14ac:dyDescent="0.3">
      <c r="A9" s="92" t="s">
        <v>234</v>
      </c>
      <c r="B9" s="31">
        <f>SUM('2022'!M38,'2022'!M78,'2022'!M118,'2022'!M158,'2022'!M198,'2022'!M239,'2022'!M278,'2022'!M317,'2022'!M356,'2022'!M395,'2022'!M434,'2022'!M475)</f>
        <v>-20600</v>
      </c>
      <c r="C9" s="119">
        <f t="shared" si="0"/>
        <v>-9.1013675846615353E-3</v>
      </c>
      <c r="D9" s="101" t="s">
        <v>398</v>
      </c>
      <c r="E9" s="101"/>
      <c r="F9" s="101"/>
      <c r="G9" s="101"/>
      <c r="H9" s="101"/>
    </row>
    <row r="10" spans="1:8" x14ac:dyDescent="0.3">
      <c r="A10" s="92" t="s">
        <v>241</v>
      </c>
      <c r="B10" s="31">
        <f>B11-SUM(B5:B9)</f>
        <v>698571.00000000023</v>
      </c>
      <c r="C10" s="119">
        <f t="shared" si="0"/>
        <v>0.3086384201448833</v>
      </c>
    </row>
    <row r="11" spans="1:8" x14ac:dyDescent="0.3">
      <c r="A11" s="92" t="s">
        <v>239</v>
      </c>
      <c r="B11" s="31">
        <f>'2022 Transaction Totals'!E212</f>
        <v>2263396.1114500002</v>
      </c>
      <c r="C11" s="119">
        <f t="shared" si="0"/>
        <v>1</v>
      </c>
    </row>
    <row r="12" spans="1:8" x14ac:dyDescent="0.3">
      <c r="A12" s="92" t="s">
        <v>240</v>
      </c>
      <c r="B12" s="31">
        <f>'2022 Transaction Totals'!O212</f>
        <v>1844765.11145</v>
      </c>
    </row>
    <row r="15" spans="1:8" x14ac:dyDescent="0.3">
      <c r="D15" s="92" t="s">
        <v>162</v>
      </c>
    </row>
    <row r="16" spans="1:8" x14ac:dyDescent="0.3">
      <c r="B16" s="31" t="s">
        <v>101</v>
      </c>
      <c r="C16" s="92" t="s">
        <v>244</v>
      </c>
      <c r="D16" s="92" t="s">
        <v>242</v>
      </c>
      <c r="E16" s="92" t="s">
        <v>245</v>
      </c>
      <c r="F16" s="92" t="s">
        <v>246</v>
      </c>
      <c r="G16" s="92" t="s">
        <v>243</v>
      </c>
    </row>
    <row r="17" spans="1:7" x14ac:dyDescent="0.3">
      <c r="A17" s="92" t="s">
        <v>64</v>
      </c>
      <c r="B17" s="31">
        <f>Load!S8</f>
        <v>156939.94260892158</v>
      </c>
      <c r="C17" s="31">
        <f>B17-D17</f>
        <v>31686.108302921581</v>
      </c>
      <c r="D17" s="81">
        <f>'2022'!J35-'2022'!AD491</f>
        <v>125253.834306</v>
      </c>
      <c r="E17" s="31">
        <f>D17-F17</f>
        <v>92599</v>
      </c>
      <c r="F17" s="81">
        <f>SUM('2022'!F32:H32)-'Hoover with 30 MW Solar'!B32</f>
        <v>32654.834305999997</v>
      </c>
      <c r="G17" s="119">
        <f t="shared" ref="G17:G29" si="1">D17/B17</f>
        <v>0.79810042124279257</v>
      </c>
    </row>
    <row r="18" spans="1:7" x14ac:dyDescent="0.3">
      <c r="A18" s="92" t="s">
        <v>65</v>
      </c>
      <c r="B18" s="31">
        <f>Load!S9</f>
        <v>165362.84765943926</v>
      </c>
      <c r="C18" s="31">
        <f t="shared" ref="C18:C28" si="2">B18-D18</f>
        <v>32606.025116439268</v>
      </c>
      <c r="D18" s="81">
        <f>'2022'!J75-'2022'!AD492</f>
        <v>132756.82254299999</v>
      </c>
      <c r="E18" s="31">
        <f t="shared" ref="E18:E28" si="3">D18-F18</f>
        <v>100962.99999999999</v>
      </c>
      <c r="F18" s="81">
        <f>SUM('2022'!F72:H72)-'Hoover with 30 MW Solar'!C32</f>
        <v>31793.822543000002</v>
      </c>
      <c r="G18" s="119">
        <f t="shared" si="1"/>
        <v>0.80282133757402041</v>
      </c>
    </row>
    <row r="19" spans="1:7" x14ac:dyDescent="0.3">
      <c r="A19" s="92" t="s">
        <v>66</v>
      </c>
      <c r="B19" s="31">
        <f>Load!S10</f>
        <v>259157.97869550562</v>
      </c>
      <c r="C19" s="31">
        <f t="shared" si="2"/>
        <v>93559.399789505609</v>
      </c>
      <c r="D19" s="81">
        <f>'2022'!J115-'2022'!AD493</f>
        <v>165598.57890600001</v>
      </c>
      <c r="E19" s="31">
        <f t="shared" si="3"/>
        <v>118774</v>
      </c>
      <c r="F19" s="81">
        <f>SUM('2022'!F112:H112)</f>
        <v>46824.578906000002</v>
      </c>
      <c r="G19" s="119">
        <f t="shared" si="1"/>
        <v>0.63898699835349448</v>
      </c>
    </row>
    <row r="20" spans="1:7" x14ac:dyDescent="0.3">
      <c r="A20" s="92" t="s">
        <v>67</v>
      </c>
      <c r="B20" s="31">
        <f>Load!S11</f>
        <v>254323.86581038486</v>
      </c>
      <c r="C20" s="31">
        <f t="shared" si="2"/>
        <v>149927.45740438486</v>
      </c>
      <c r="D20" s="81">
        <f>'2022'!J155-'2022'!AD494</f>
        <v>104396.408406</v>
      </c>
      <c r="E20" s="31">
        <f t="shared" si="3"/>
        <v>56464</v>
      </c>
      <c r="F20" s="81">
        <f>SUM('2022'!F152:H152)</f>
        <v>47932.408406000002</v>
      </c>
      <c r="G20" s="119">
        <f t="shared" si="1"/>
        <v>0.41048608660201152</v>
      </c>
    </row>
    <row r="21" spans="1:7" x14ac:dyDescent="0.3">
      <c r="A21" s="92" t="s">
        <v>54</v>
      </c>
      <c r="B21" s="31">
        <f>Load!S12</f>
        <v>271051.66124483716</v>
      </c>
      <c r="C21" s="31">
        <f t="shared" si="2"/>
        <v>161348.02801283717</v>
      </c>
      <c r="D21" s="81">
        <f>'2022'!J195-'2022'!AD495</f>
        <v>109703.63323199999</v>
      </c>
      <c r="E21" s="31">
        <f t="shared" si="3"/>
        <v>60043.999999999993</v>
      </c>
      <c r="F21" s="81">
        <f>SUM('2022'!F192:H192)</f>
        <v>49659.633232</v>
      </c>
      <c r="G21" s="119">
        <f t="shared" si="1"/>
        <v>0.40473329965281507</v>
      </c>
    </row>
    <row r="22" spans="1:7" x14ac:dyDescent="0.3">
      <c r="A22" s="92" t="s">
        <v>68</v>
      </c>
      <c r="B22" s="31">
        <f>Load!S13</f>
        <v>101764.66140016042</v>
      </c>
      <c r="C22" s="31">
        <f t="shared" si="2"/>
        <v>21504.585374160422</v>
      </c>
      <c r="D22" s="81">
        <f>'2022'!J236-'2022'!AD496</f>
        <v>80260.076025999995</v>
      </c>
      <c r="E22" s="31">
        <f t="shared" si="3"/>
        <v>39572</v>
      </c>
      <c r="F22" s="81">
        <f>SUM('2022'!F233:H233)-'Hoover with 30 MW Solar'!G32</f>
        <v>40688.076025999995</v>
      </c>
      <c r="G22" s="119">
        <f t="shared" si="1"/>
        <v>0.78868317274107769</v>
      </c>
    </row>
    <row r="23" spans="1:7" x14ac:dyDescent="0.3">
      <c r="A23" s="92" t="s">
        <v>69</v>
      </c>
      <c r="B23" s="31">
        <f>Load!S14</f>
        <v>67867.833572564123</v>
      </c>
      <c r="C23" s="31">
        <f t="shared" si="2"/>
        <v>6148.741514564128</v>
      </c>
      <c r="D23" s="81">
        <f>'2022'!J275-'2022'!AD497</f>
        <v>61719.092057999995</v>
      </c>
      <c r="E23" s="31">
        <f t="shared" si="3"/>
        <v>23085</v>
      </c>
      <c r="F23" s="81">
        <f>SUM('2022'!F272:H272)-'Hoover with 30 MW Solar'!H32</f>
        <v>38634.092057999995</v>
      </c>
      <c r="G23" s="119">
        <f t="shared" si="1"/>
        <v>0.90940124075140971</v>
      </c>
    </row>
    <row r="24" spans="1:7" x14ac:dyDescent="0.3">
      <c r="A24" s="92" t="s">
        <v>70</v>
      </c>
      <c r="B24" s="31">
        <f>Load!S15</f>
        <v>63587.392544376489</v>
      </c>
      <c r="C24" s="31">
        <f t="shared" si="2"/>
        <v>4499.0862513764878</v>
      </c>
      <c r="D24" s="81">
        <f>'2022'!J314-'2022'!AD498</f>
        <v>59088.306293000001</v>
      </c>
      <c r="E24" s="31">
        <f t="shared" si="3"/>
        <v>21638</v>
      </c>
      <c r="F24" s="81">
        <f>SUM('2022'!F311:H311)-'Hoover with 30 MW Solar'!I32</f>
        <v>37450.306293000001</v>
      </c>
      <c r="G24" s="119">
        <f t="shared" si="1"/>
        <v>0.92924562446499659</v>
      </c>
    </row>
    <row r="25" spans="1:7" x14ac:dyDescent="0.3">
      <c r="A25" s="92" t="s">
        <v>71</v>
      </c>
      <c r="B25" s="31">
        <f>Load!S16</f>
        <v>151143.42254087212</v>
      </c>
      <c r="C25" s="31">
        <f t="shared" si="2"/>
        <v>79336.137094872131</v>
      </c>
      <c r="D25" s="81">
        <f>'2022'!J353-'2022'!AD499</f>
        <v>71807.285445999994</v>
      </c>
      <c r="E25" s="31">
        <f t="shared" si="3"/>
        <v>37379.999999999993</v>
      </c>
      <c r="F25" s="81">
        <f>SUM('2022'!F350:H350)-'Hoover with 30 MW Solar'!J32</f>
        <v>34427.285446000002</v>
      </c>
      <c r="G25" s="119">
        <f t="shared" si="1"/>
        <v>0.47509368412364689</v>
      </c>
    </row>
    <row r="26" spans="1:7" x14ac:dyDescent="0.3">
      <c r="A26" s="92" t="s">
        <v>72</v>
      </c>
      <c r="B26" s="31">
        <f>Load!S17</f>
        <v>134662.31386501051</v>
      </c>
      <c r="C26" s="31">
        <f t="shared" si="2"/>
        <v>38373.057717010495</v>
      </c>
      <c r="D26" s="81">
        <f>'2022'!J392-'2022'!AD500</f>
        <v>96289.256148000015</v>
      </c>
      <c r="E26" s="31">
        <f t="shared" si="3"/>
        <v>57935.000000000015</v>
      </c>
      <c r="F26" s="81">
        <f>SUM('2022'!F389:H389)-'Hoover with 30 MW Solar'!K32</f>
        <v>38354.256148</v>
      </c>
      <c r="G26" s="119">
        <f t="shared" si="1"/>
        <v>0.71504234098133213</v>
      </c>
    </row>
    <row r="27" spans="1:7" x14ac:dyDescent="0.3">
      <c r="A27" s="92" t="s">
        <v>73</v>
      </c>
      <c r="B27" s="31">
        <f>Load!S18</f>
        <v>116383.54214347148</v>
      </c>
      <c r="C27" s="31">
        <f t="shared" si="2"/>
        <v>37583.910601471493</v>
      </c>
      <c r="D27" s="81">
        <f>'2022'!J431-'2022'!AD501</f>
        <v>78799.631541999988</v>
      </c>
      <c r="E27" s="31">
        <f t="shared" si="3"/>
        <v>43139.999999999985</v>
      </c>
      <c r="F27" s="81">
        <f>SUM('2022'!F428:H428)-'Hoover with 30 MW Solar'!L32</f>
        <v>35659.631542000003</v>
      </c>
      <c r="G27" s="119">
        <f t="shared" si="1"/>
        <v>0.67706851063924456</v>
      </c>
    </row>
    <row r="28" spans="1:7" x14ac:dyDescent="0.3">
      <c r="A28" s="92" t="s">
        <v>74</v>
      </c>
      <c r="B28" s="31">
        <f>Load!S19</f>
        <v>105892.89916029984</v>
      </c>
      <c r="C28" s="31">
        <f t="shared" si="2"/>
        <v>30723.712616299847</v>
      </c>
      <c r="D28" s="81">
        <f>'2022'!J472-'2022'!AD502</f>
        <v>75169.186543999997</v>
      </c>
      <c r="E28" s="31">
        <f t="shared" si="3"/>
        <v>43855</v>
      </c>
      <c r="F28" s="81">
        <f>SUM('2022'!F469:H469)-'Hoover with 30 MW Solar'!M32</f>
        <v>31314.186543999997</v>
      </c>
      <c r="G28" s="119">
        <f t="shared" si="1"/>
        <v>0.70986050188511196</v>
      </c>
    </row>
    <row r="29" spans="1:7" x14ac:dyDescent="0.3">
      <c r="A29" s="92" t="s">
        <v>93</v>
      </c>
      <c r="B29" s="31">
        <f>SUM(B17:B28)</f>
        <v>1848138.3612458436</v>
      </c>
      <c r="C29" s="31">
        <f>SUM(C17:C28)</f>
        <v>687296.2497958435</v>
      </c>
      <c r="D29" s="31">
        <f>SUM(D17:D28)</f>
        <v>1160842.11145</v>
      </c>
      <c r="E29" s="31">
        <f>SUM(E17:E28)</f>
        <v>695449</v>
      </c>
      <c r="F29" s="31">
        <f>SUM(F17:F28)</f>
        <v>465393.11144999997</v>
      </c>
      <c r="G29" s="119">
        <f t="shared" si="1"/>
        <v>0.62811428829791072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U135"/>
  <sheetViews>
    <sheetView workbookViewId="0">
      <selection activeCell="G41" sqref="G41"/>
    </sheetView>
  </sheetViews>
  <sheetFormatPr defaultRowHeight="14.4" x14ac:dyDescent="0.3"/>
  <cols>
    <col min="1" max="1" width="31.5546875" customWidth="1"/>
    <col min="2" max="13" width="9.6640625" customWidth="1"/>
    <col min="14" max="14" width="11.6640625" customWidth="1"/>
    <col min="15" max="15" width="12.109375" customWidth="1"/>
    <col min="16" max="16" width="12" customWidth="1"/>
    <col min="21" max="21" width="14.5546875" bestFit="1" customWidth="1"/>
  </cols>
  <sheetData>
    <row r="2" spans="1:14" ht="15.6" x14ac:dyDescent="0.3">
      <c r="A2" s="484" t="s">
        <v>133</v>
      </c>
      <c r="B2" s="485"/>
      <c r="C2" s="485"/>
      <c r="D2" s="485"/>
      <c r="E2" s="485"/>
      <c r="F2" s="485"/>
      <c r="G2" s="485"/>
      <c r="H2" s="485"/>
      <c r="I2" s="485"/>
      <c r="J2" s="485"/>
      <c r="K2" s="485"/>
      <c r="L2" s="485"/>
      <c r="M2" s="485"/>
      <c r="N2" s="484"/>
    </row>
    <row r="3" spans="1:14" x14ac:dyDescent="0.3">
      <c r="A3" s="42" t="s">
        <v>134</v>
      </c>
      <c r="B3" s="43">
        <v>1</v>
      </c>
      <c r="C3" s="43">
        <v>2</v>
      </c>
      <c r="D3" s="43">
        <v>3</v>
      </c>
      <c r="E3" s="43">
        <v>4</v>
      </c>
      <c r="F3" s="43">
        <v>5</v>
      </c>
      <c r="G3" s="43">
        <v>6</v>
      </c>
      <c r="H3" s="43">
        <v>7</v>
      </c>
      <c r="I3" s="43">
        <v>8</v>
      </c>
      <c r="J3" s="43">
        <v>9</v>
      </c>
      <c r="K3" s="43">
        <v>10</v>
      </c>
      <c r="L3" s="43">
        <v>11</v>
      </c>
      <c r="M3" s="43">
        <v>12</v>
      </c>
      <c r="N3" s="42" t="s">
        <v>135</v>
      </c>
    </row>
    <row r="4" spans="1:14" x14ac:dyDescent="0.3">
      <c r="A4" s="44">
        <v>0</v>
      </c>
      <c r="B4" s="45">
        <v>-0.14910999999999999</v>
      </c>
      <c r="C4" s="45">
        <v>-0.13467999999999997</v>
      </c>
      <c r="D4" s="45">
        <v>-0.14910999999999999</v>
      </c>
      <c r="E4" s="45">
        <v>-0.14429999999999998</v>
      </c>
      <c r="F4" s="45">
        <v>-0.14910999999999999</v>
      </c>
      <c r="G4" s="45">
        <v>-0.14429999999999998</v>
      </c>
      <c r="H4" s="45">
        <v>-0.14910999999999999</v>
      </c>
      <c r="I4" s="45">
        <v>-0.14910999999999999</v>
      </c>
      <c r="J4" s="45">
        <v>-0.14429999999999998</v>
      </c>
      <c r="K4" s="45">
        <v>-0.14910999999999999</v>
      </c>
      <c r="L4" s="45">
        <v>-0.14429999999999998</v>
      </c>
      <c r="M4" s="45">
        <v>-0.14910999999999999</v>
      </c>
      <c r="N4" s="45">
        <v>-1.7556500000000004</v>
      </c>
    </row>
    <row r="5" spans="1:14" x14ac:dyDescent="0.3">
      <c r="A5" s="44">
        <v>4.1666666666666664E-2</v>
      </c>
      <c r="B5" s="45">
        <v>-0.14910999999999999</v>
      </c>
      <c r="C5" s="45">
        <v>-0.13467999999999997</v>
      </c>
      <c r="D5" s="45">
        <v>-0.14910999999999999</v>
      </c>
      <c r="E5" s="45">
        <v>-0.14429999999999998</v>
      </c>
      <c r="F5" s="45">
        <v>-0.14910999999999999</v>
      </c>
      <c r="G5" s="45">
        <v>-0.14429999999999998</v>
      </c>
      <c r="H5" s="45">
        <v>-0.14910999999999999</v>
      </c>
      <c r="I5" s="45">
        <v>-0.14910999999999999</v>
      </c>
      <c r="J5" s="45">
        <v>-0.14429999999999998</v>
      </c>
      <c r="K5" s="45">
        <v>-0.14910999999999999</v>
      </c>
      <c r="L5" s="45">
        <v>-0.14429999999999998</v>
      </c>
      <c r="M5" s="45">
        <v>-0.14910999999999999</v>
      </c>
      <c r="N5" s="45">
        <v>-1.7556500000000004</v>
      </c>
    </row>
    <row r="6" spans="1:14" x14ac:dyDescent="0.3">
      <c r="A6" s="44">
        <v>8.3333333333333329E-2</v>
      </c>
      <c r="B6" s="45">
        <v>-0.14910999999999999</v>
      </c>
      <c r="C6" s="45">
        <v>-0.13467999999999997</v>
      </c>
      <c r="D6" s="45">
        <v>-0.14910999999999999</v>
      </c>
      <c r="E6" s="45">
        <v>-0.14429999999999998</v>
      </c>
      <c r="F6" s="45">
        <v>-0.14910999999999999</v>
      </c>
      <c r="G6" s="45">
        <v>-0.14429999999999998</v>
      </c>
      <c r="H6" s="45">
        <v>-0.14910999999999999</v>
      </c>
      <c r="I6" s="45">
        <v>-0.14910999999999999</v>
      </c>
      <c r="J6" s="45">
        <v>-0.14429999999999998</v>
      </c>
      <c r="K6" s="45">
        <v>-0.14910999999999999</v>
      </c>
      <c r="L6" s="45">
        <v>-0.14429999999999998</v>
      </c>
      <c r="M6" s="45">
        <v>-0.14910999999999999</v>
      </c>
      <c r="N6" s="45">
        <v>-1.7556500000000004</v>
      </c>
    </row>
    <row r="7" spans="1:14" x14ac:dyDescent="0.3">
      <c r="A7" s="44">
        <v>0.125</v>
      </c>
      <c r="B7" s="45">
        <v>-0.14910999999999999</v>
      </c>
      <c r="C7" s="45">
        <v>-0.13467999999999997</v>
      </c>
      <c r="D7" s="45">
        <v>-0.14910999999999999</v>
      </c>
      <c r="E7" s="45">
        <v>-0.14429999999999998</v>
      </c>
      <c r="F7" s="45">
        <v>-0.14910999999999999</v>
      </c>
      <c r="G7" s="45">
        <v>-0.14429999999999998</v>
      </c>
      <c r="H7" s="45">
        <v>-0.14910999999999999</v>
      </c>
      <c r="I7" s="45">
        <v>-0.14910999999999999</v>
      </c>
      <c r="J7" s="45">
        <v>-0.14429999999999998</v>
      </c>
      <c r="K7" s="45">
        <v>-0.14910999999999999</v>
      </c>
      <c r="L7" s="45">
        <v>-0.14429999999999998</v>
      </c>
      <c r="M7" s="45">
        <v>-0.14910999999999999</v>
      </c>
      <c r="N7" s="45">
        <v>-1.7556500000000004</v>
      </c>
    </row>
    <row r="8" spans="1:14" x14ac:dyDescent="0.3">
      <c r="A8" s="44">
        <v>0.16666666666666666</v>
      </c>
      <c r="B8" s="45">
        <v>-0.14910999999999999</v>
      </c>
      <c r="C8" s="45">
        <v>-0.13467999999999997</v>
      </c>
      <c r="D8" s="45">
        <v>-0.14910999999999999</v>
      </c>
      <c r="E8" s="45">
        <v>-0.14429999999999998</v>
      </c>
      <c r="F8" s="45">
        <v>-0.14910999999999999</v>
      </c>
      <c r="G8" s="45">
        <v>-0.14429999999999998</v>
      </c>
      <c r="H8" s="45">
        <v>-0.14910999999999999</v>
      </c>
      <c r="I8" s="45">
        <v>-0.14910999999999999</v>
      </c>
      <c r="J8" s="45">
        <v>-0.14429999999999998</v>
      </c>
      <c r="K8" s="45">
        <v>-0.14910999999999999</v>
      </c>
      <c r="L8" s="45">
        <v>-0.14429999999999998</v>
      </c>
      <c r="M8" s="45">
        <v>-0.14910999999999999</v>
      </c>
      <c r="N8" s="45">
        <v>-1.7556500000000004</v>
      </c>
    </row>
    <row r="9" spans="1:14" x14ac:dyDescent="0.3">
      <c r="A9" s="44">
        <v>0.20833333333333334</v>
      </c>
      <c r="B9" s="45">
        <v>-0.14910999999999999</v>
      </c>
      <c r="C9" s="45">
        <v>-0.13467999999999997</v>
      </c>
      <c r="D9" s="45">
        <v>-0.14910999999999999</v>
      </c>
      <c r="E9" s="45">
        <v>-0.14429999999999998</v>
      </c>
      <c r="F9" s="45">
        <v>0.35734900000000003</v>
      </c>
      <c r="G9" s="45">
        <v>2.8729979999999995</v>
      </c>
      <c r="H9" s="45">
        <v>1.4160000000000405E-3</v>
      </c>
      <c r="I9" s="45">
        <v>-0.14910999999999999</v>
      </c>
      <c r="J9" s="45">
        <v>-0.14429999999999998</v>
      </c>
      <c r="K9" s="45">
        <v>-0.14910999999999999</v>
      </c>
      <c r="L9" s="45">
        <v>-0.14429999999999998</v>
      </c>
      <c r="M9" s="45">
        <v>-0.14910999999999999</v>
      </c>
      <c r="N9" s="45">
        <v>1.918633</v>
      </c>
    </row>
    <row r="10" spans="1:14" x14ac:dyDescent="0.3">
      <c r="A10" s="44">
        <v>0.25</v>
      </c>
      <c r="B10" s="45">
        <v>-0.14910999999999999</v>
      </c>
      <c r="C10" s="45">
        <v>-0.13467999999999997</v>
      </c>
      <c r="D10" s="45">
        <v>0.73094800000000015</v>
      </c>
      <c r="E10" s="45">
        <v>74.803878000000026</v>
      </c>
      <c r="F10" s="45">
        <v>286.71650900000003</v>
      </c>
      <c r="G10" s="45">
        <v>309.27476200000001</v>
      </c>
      <c r="H10" s="45">
        <v>151.13504899999998</v>
      </c>
      <c r="I10" s="45">
        <v>83.49933</v>
      </c>
      <c r="J10" s="45">
        <v>23.120213</v>
      </c>
      <c r="K10" s="45">
        <v>0.45880900000000047</v>
      </c>
      <c r="L10" s="45">
        <v>-0.14429999999999998</v>
      </c>
      <c r="M10" s="45">
        <v>-0.14910999999999999</v>
      </c>
      <c r="N10" s="45">
        <v>929.16229800000008</v>
      </c>
    </row>
    <row r="11" spans="1:14" x14ac:dyDescent="0.3">
      <c r="A11" s="44">
        <v>0.29166666666666669</v>
      </c>
      <c r="B11" s="45">
        <v>0.27767700000000012</v>
      </c>
      <c r="C11" s="45">
        <v>24.637834999999999</v>
      </c>
      <c r="D11" s="45">
        <v>228.484103</v>
      </c>
      <c r="E11" s="45">
        <v>563.1038930000002</v>
      </c>
      <c r="F11" s="45">
        <v>800.2105479999999</v>
      </c>
      <c r="G11" s="45">
        <v>717.94147999999984</v>
      </c>
      <c r="H11" s="45">
        <v>520.23128899999995</v>
      </c>
      <c r="I11" s="45">
        <v>516.47010300000011</v>
      </c>
      <c r="J11" s="45">
        <v>405.418204</v>
      </c>
      <c r="K11" s="45">
        <v>262.49442199999999</v>
      </c>
      <c r="L11" s="45">
        <v>77.883989999999997</v>
      </c>
      <c r="M11" s="45">
        <v>3.3898270000000008</v>
      </c>
      <c r="N11" s="45">
        <v>4120.5433710000007</v>
      </c>
    </row>
    <row r="12" spans="1:14" x14ac:dyDescent="0.3">
      <c r="A12" s="44">
        <v>0.33333333333333331</v>
      </c>
      <c r="B12" s="45">
        <v>290.9489410000001</v>
      </c>
      <c r="C12" s="45">
        <v>438.40064400000006</v>
      </c>
      <c r="D12" s="45">
        <v>683.35818999999992</v>
      </c>
      <c r="E12" s="45">
        <v>782.44604800000002</v>
      </c>
      <c r="F12" s="45">
        <v>908.88683500000002</v>
      </c>
      <c r="G12" s="45">
        <v>838.11314799999991</v>
      </c>
      <c r="H12" s="45">
        <v>674.63271900000007</v>
      </c>
      <c r="I12" s="45">
        <v>690.65515600000003</v>
      </c>
      <c r="J12" s="45">
        <v>650.63722799999982</v>
      </c>
      <c r="K12" s="45">
        <v>665.89600400000006</v>
      </c>
      <c r="L12" s="45">
        <v>520.41444899999988</v>
      </c>
      <c r="M12" s="45">
        <v>331.50200699999994</v>
      </c>
      <c r="N12" s="45">
        <v>7475.891368999999</v>
      </c>
    </row>
    <row r="13" spans="1:14" x14ac:dyDescent="0.3">
      <c r="A13" s="44">
        <v>0.375</v>
      </c>
      <c r="B13" s="45">
        <v>649.64139999999986</v>
      </c>
      <c r="C13" s="45">
        <v>657.44300400000009</v>
      </c>
      <c r="D13" s="45">
        <v>741.08754199999998</v>
      </c>
      <c r="E13" s="45">
        <v>819.92687599999988</v>
      </c>
      <c r="F13" s="45">
        <v>924.77484600000003</v>
      </c>
      <c r="G13" s="45">
        <v>880.51681699999995</v>
      </c>
      <c r="H13" s="45">
        <v>767.81004700000005</v>
      </c>
      <c r="I13" s="45">
        <v>792.83602700000006</v>
      </c>
      <c r="J13" s="45">
        <v>700.86655100000007</v>
      </c>
      <c r="K13" s="45">
        <v>741.41439399999967</v>
      </c>
      <c r="L13" s="45">
        <v>632.17171600000006</v>
      </c>
      <c r="M13" s="45">
        <v>598.75832300000002</v>
      </c>
      <c r="N13" s="45">
        <v>8907.2475429999995</v>
      </c>
    </row>
    <row r="14" spans="1:14" x14ac:dyDescent="0.3">
      <c r="A14" s="44">
        <v>0.41666666666666669</v>
      </c>
      <c r="B14" s="45">
        <v>634.78380100000015</v>
      </c>
      <c r="C14" s="45">
        <v>664.93324800000005</v>
      </c>
      <c r="D14" s="45">
        <v>774.59916599999985</v>
      </c>
      <c r="E14" s="45">
        <v>848.72459700000002</v>
      </c>
      <c r="F14" s="45">
        <v>924.73449400000004</v>
      </c>
      <c r="G14" s="45">
        <v>895.54362400000014</v>
      </c>
      <c r="H14" s="45">
        <v>830.89040899999998</v>
      </c>
      <c r="I14" s="45">
        <v>834.55231099999992</v>
      </c>
      <c r="J14" s="45">
        <v>731.41571500000009</v>
      </c>
      <c r="K14" s="45">
        <v>737.96986800000013</v>
      </c>
      <c r="L14" s="45">
        <v>657.87027099999989</v>
      </c>
      <c r="M14" s="45">
        <v>615.48996200000011</v>
      </c>
      <c r="N14" s="45">
        <v>9151.5074660000009</v>
      </c>
    </row>
    <row r="15" spans="1:14" x14ac:dyDescent="0.3">
      <c r="A15" s="44">
        <v>0.45833333333333331</v>
      </c>
      <c r="B15" s="45">
        <v>614.62347199999999</v>
      </c>
      <c r="C15" s="45">
        <v>662.93658800000014</v>
      </c>
      <c r="D15" s="45">
        <v>820.43626500000005</v>
      </c>
      <c r="E15" s="45">
        <v>860.94161799999995</v>
      </c>
      <c r="F15" s="45">
        <v>922.59959900000001</v>
      </c>
      <c r="G15" s="45">
        <v>894.97584600000005</v>
      </c>
      <c r="H15" s="45">
        <v>836.93352600000003</v>
      </c>
      <c r="I15" s="45">
        <v>851.53629899999987</v>
      </c>
      <c r="J15" s="45">
        <v>759.58959500000003</v>
      </c>
      <c r="K15" s="45">
        <v>714.21536499999991</v>
      </c>
      <c r="L15" s="45">
        <v>629.55839300000002</v>
      </c>
      <c r="M15" s="45">
        <v>578.67122499999994</v>
      </c>
      <c r="N15" s="45">
        <v>9147.0177910000002</v>
      </c>
    </row>
    <row r="16" spans="1:14" x14ac:dyDescent="0.3">
      <c r="A16" s="44">
        <v>0.5</v>
      </c>
      <c r="B16" s="45">
        <v>601.76043900000002</v>
      </c>
      <c r="C16" s="45">
        <v>648.39076499999999</v>
      </c>
      <c r="D16" s="45">
        <v>837.21427500000004</v>
      </c>
      <c r="E16" s="45">
        <v>878.29382800000008</v>
      </c>
      <c r="F16" s="45">
        <v>911.24157300000002</v>
      </c>
      <c r="G16" s="45">
        <v>893.11363799999981</v>
      </c>
      <c r="H16" s="45">
        <v>858.52857899999981</v>
      </c>
      <c r="I16" s="45">
        <v>856.32728199999974</v>
      </c>
      <c r="J16" s="45">
        <v>740.37701400000014</v>
      </c>
      <c r="K16" s="45">
        <v>708.67109000000016</v>
      </c>
      <c r="L16" s="45">
        <v>604.62004899999999</v>
      </c>
      <c r="M16" s="45">
        <v>547.41236800000001</v>
      </c>
      <c r="N16" s="45">
        <v>9085.950899999998</v>
      </c>
    </row>
    <row r="17" spans="1:14" x14ac:dyDescent="0.3">
      <c r="A17" s="44">
        <v>0.54166666666666663</v>
      </c>
      <c r="B17" s="45">
        <v>618.94286899999997</v>
      </c>
      <c r="C17" s="45">
        <v>647.57294000000002</v>
      </c>
      <c r="D17" s="45">
        <v>814.10915799999987</v>
      </c>
      <c r="E17" s="45">
        <v>863.56746699999997</v>
      </c>
      <c r="F17" s="45">
        <v>888.95146599999998</v>
      </c>
      <c r="G17" s="45">
        <v>889.06556799999998</v>
      </c>
      <c r="H17" s="45">
        <v>840.12071600000013</v>
      </c>
      <c r="I17" s="45">
        <v>856.18090699999993</v>
      </c>
      <c r="J17" s="45">
        <v>723.30118800000002</v>
      </c>
      <c r="K17" s="45">
        <v>715.44280300000003</v>
      </c>
      <c r="L17" s="45">
        <v>615.86284999999987</v>
      </c>
      <c r="M17" s="45">
        <v>558.05977099999996</v>
      </c>
      <c r="N17" s="45">
        <v>9031.1777029999994</v>
      </c>
    </row>
    <row r="18" spans="1:14" x14ac:dyDescent="0.3">
      <c r="A18" s="44">
        <v>0.58333333333333337</v>
      </c>
      <c r="B18" s="45">
        <v>640.37825400000031</v>
      </c>
      <c r="C18" s="45">
        <v>659.12926000000004</v>
      </c>
      <c r="D18" s="45">
        <v>804.40244399999995</v>
      </c>
      <c r="E18" s="45">
        <v>859.46541100000002</v>
      </c>
      <c r="F18" s="45">
        <v>869.96827800000005</v>
      </c>
      <c r="G18" s="45">
        <v>853.47481200000016</v>
      </c>
      <c r="H18" s="45">
        <v>836.44873399999994</v>
      </c>
      <c r="I18" s="45">
        <v>814.66766400000006</v>
      </c>
      <c r="J18" s="45">
        <v>729.58800399999984</v>
      </c>
      <c r="K18" s="45">
        <v>711.34135800000001</v>
      </c>
      <c r="L18" s="45">
        <v>629.55093799999997</v>
      </c>
      <c r="M18" s="45">
        <v>577.35813999999993</v>
      </c>
      <c r="N18" s="45">
        <v>8985.7732969999997</v>
      </c>
    </row>
    <row r="19" spans="1:14" x14ac:dyDescent="0.3">
      <c r="A19" s="44">
        <v>0.625</v>
      </c>
      <c r="B19" s="45">
        <v>651.92539599999998</v>
      </c>
      <c r="C19" s="45">
        <v>688.79224899999997</v>
      </c>
      <c r="D19" s="45">
        <v>791.62927500000001</v>
      </c>
      <c r="E19" s="45">
        <v>829.10864000000004</v>
      </c>
      <c r="F19" s="45">
        <v>884.87704399999996</v>
      </c>
      <c r="G19" s="45">
        <v>839.12305900000024</v>
      </c>
      <c r="H19" s="45">
        <v>835.44116299999996</v>
      </c>
      <c r="I19" s="45">
        <v>731.67705099999989</v>
      </c>
      <c r="J19" s="45">
        <v>684.97328600000014</v>
      </c>
      <c r="K19" s="45">
        <v>692.75621200000012</v>
      </c>
      <c r="L19" s="45">
        <v>621.62556099999972</v>
      </c>
      <c r="M19" s="45">
        <v>573.0099130000001</v>
      </c>
      <c r="N19" s="45">
        <v>8824.9388490000001</v>
      </c>
    </row>
    <row r="20" spans="1:14" x14ac:dyDescent="0.3">
      <c r="A20" s="44">
        <v>0.66666666666666663</v>
      </c>
      <c r="B20" s="45">
        <v>511.28511299999985</v>
      </c>
      <c r="C20" s="45">
        <v>619.40271999999993</v>
      </c>
      <c r="D20" s="45">
        <v>711.52036800000008</v>
      </c>
      <c r="E20" s="45">
        <v>760.84049500000003</v>
      </c>
      <c r="F20" s="45">
        <v>826.94234699999993</v>
      </c>
      <c r="G20" s="45">
        <v>797.61059499999999</v>
      </c>
      <c r="H20" s="45">
        <v>798.99306800000011</v>
      </c>
      <c r="I20" s="45">
        <v>633.28585300000009</v>
      </c>
      <c r="J20" s="45">
        <v>620.85497599999985</v>
      </c>
      <c r="K20" s="45">
        <v>591.60278299999982</v>
      </c>
      <c r="L20" s="45">
        <v>364.97891200000009</v>
      </c>
      <c r="M20" s="45">
        <v>320.40202799999997</v>
      </c>
      <c r="N20" s="45">
        <v>7557.719258000001</v>
      </c>
    </row>
    <row r="21" spans="1:14" x14ac:dyDescent="0.3">
      <c r="A21" s="44">
        <v>0.70833333333333337</v>
      </c>
      <c r="B21" s="45">
        <v>74.205374000000006</v>
      </c>
      <c r="C21" s="45">
        <v>240.79115299999998</v>
      </c>
      <c r="D21" s="45">
        <v>505.76010100000002</v>
      </c>
      <c r="E21" s="45">
        <v>640.26661499999989</v>
      </c>
      <c r="F21" s="45">
        <v>739.87963300000001</v>
      </c>
      <c r="G21" s="45">
        <v>721.09452199999998</v>
      </c>
      <c r="H21" s="45">
        <v>680.01710599999979</v>
      </c>
      <c r="I21" s="45">
        <v>518.34970099999998</v>
      </c>
      <c r="J21" s="45">
        <v>373.30468200000001</v>
      </c>
      <c r="K21" s="45">
        <v>121.78236</v>
      </c>
      <c r="L21" s="45">
        <v>7.9703129999999982</v>
      </c>
      <c r="M21" s="45">
        <v>3.0714100000000002</v>
      </c>
      <c r="N21" s="45">
        <v>4626.4929699999993</v>
      </c>
    </row>
    <row r="22" spans="1:14" x14ac:dyDescent="0.3">
      <c r="A22" s="44">
        <v>0.75</v>
      </c>
      <c r="B22" s="45">
        <v>-0.14910999999999999</v>
      </c>
      <c r="C22" s="45">
        <v>1.008297</v>
      </c>
      <c r="D22" s="45">
        <v>39.887281000000002</v>
      </c>
      <c r="E22" s="45">
        <v>144.50634000000002</v>
      </c>
      <c r="F22" s="45">
        <v>325.09234299999997</v>
      </c>
      <c r="G22" s="45">
        <v>444.87355500000001</v>
      </c>
      <c r="H22" s="45">
        <v>379.58523499999995</v>
      </c>
      <c r="I22" s="45">
        <v>168.60795699999997</v>
      </c>
      <c r="J22" s="45">
        <v>27.426090000000002</v>
      </c>
      <c r="K22" s="45">
        <v>-0.14910999999999999</v>
      </c>
      <c r="L22" s="45">
        <v>-0.14429999999999998</v>
      </c>
      <c r="M22" s="45">
        <v>-0.14910999999999999</v>
      </c>
      <c r="N22" s="45">
        <v>1530.3954679999997</v>
      </c>
    </row>
    <row r="23" spans="1:14" x14ac:dyDescent="0.3">
      <c r="A23" s="44">
        <v>0.79166666666666663</v>
      </c>
      <c r="B23" s="45">
        <v>-0.14910999999999999</v>
      </c>
      <c r="C23" s="45">
        <v>-0.13467999999999997</v>
      </c>
      <c r="D23" s="45">
        <v>-0.14910999999999999</v>
      </c>
      <c r="E23" s="45">
        <v>-0.14429999999999998</v>
      </c>
      <c r="F23" s="45">
        <v>3.7423579999999999</v>
      </c>
      <c r="G23" s="45">
        <v>28.780301999999999</v>
      </c>
      <c r="H23" s="45">
        <v>21.664991999999991</v>
      </c>
      <c r="I23" s="45">
        <v>0.15175199999999986</v>
      </c>
      <c r="J23" s="45">
        <v>-0.14429999999999998</v>
      </c>
      <c r="K23" s="45">
        <v>-0.14910999999999999</v>
      </c>
      <c r="L23" s="45">
        <v>-0.14429999999999998</v>
      </c>
      <c r="M23" s="45">
        <v>-0.14910999999999999</v>
      </c>
      <c r="N23" s="45">
        <v>53.175383999999987</v>
      </c>
    </row>
    <row r="24" spans="1:14" x14ac:dyDescent="0.3">
      <c r="A24" s="44">
        <v>0.83333333333333337</v>
      </c>
      <c r="B24" s="45">
        <v>-0.14910999999999999</v>
      </c>
      <c r="C24" s="45">
        <v>-0.13467999999999997</v>
      </c>
      <c r="D24" s="45">
        <v>-0.14910999999999999</v>
      </c>
      <c r="E24" s="45">
        <v>-0.14429999999999998</v>
      </c>
      <c r="F24" s="45">
        <v>-0.14910999999999999</v>
      </c>
      <c r="G24" s="45">
        <v>-0.14429999999999998</v>
      </c>
      <c r="H24" s="45">
        <v>-0.14910999999999999</v>
      </c>
      <c r="I24" s="45">
        <v>-0.14910999999999999</v>
      </c>
      <c r="J24" s="45">
        <v>-0.14429999999999998</v>
      </c>
      <c r="K24" s="45">
        <v>-0.14910999999999999</v>
      </c>
      <c r="L24" s="45">
        <v>-0.14429999999999998</v>
      </c>
      <c r="M24" s="45">
        <v>-0.14910999999999999</v>
      </c>
      <c r="N24" s="45">
        <v>-1.7556500000000004</v>
      </c>
    </row>
    <row r="25" spans="1:14" x14ac:dyDescent="0.3">
      <c r="A25" s="44">
        <v>0.875</v>
      </c>
      <c r="B25" s="45">
        <v>-0.14910999999999999</v>
      </c>
      <c r="C25" s="45">
        <v>-0.13467999999999997</v>
      </c>
      <c r="D25" s="45">
        <v>-0.14910999999999999</v>
      </c>
      <c r="E25" s="45">
        <v>-0.14429999999999998</v>
      </c>
      <c r="F25" s="45">
        <v>-0.14910999999999999</v>
      </c>
      <c r="G25" s="45">
        <v>-0.14429999999999998</v>
      </c>
      <c r="H25" s="45">
        <v>-0.14910999999999999</v>
      </c>
      <c r="I25" s="45">
        <v>-0.14910999999999999</v>
      </c>
      <c r="J25" s="45">
        <v>-0.14429999999999998</v>
      </c>
      <c r="K25" s="45">
        <v>-0.14910999999999999</v>
      </c>
      <c r="L25" s="45">
        <v>-0.14429999999999998</v>
      </c>
      <c r="M25" s="45">
        <v>-0.14910999999999999</v>
      </c>
      <c r="N25" s="45">
        <v>-1.7556500000000004</v>
      </c>
    </row>
    <row r="26" spans="1:14" x14ac:dyDescent="0.3">
      <c r="A26" s="44">
        <v>0.91666666666666663</v>
      </c>
      <c r="B26" s="45">
        <v>-0.14910999999999999</v>
      </c>
      <c r="C26" s="45">
        <v>-0.13467999999999997</v>
      </c>
      <c r="D26" s="45">
        <v>-0.14910999999999999</v>
      </c>
      <c r="E26" s="45">
        <v>-0.14429999999999998</v>
      </c>
      <c r="F26" s="45">
        <v>-0.14910999999999999</v>
      </c>
      <c r="G26" s="45">
        <v>-0.14429999999999998</v>
      </c>
      <c r="H26" s="45">
        <v>-0.14910999999999999</v>
      </c>
      <c r="I26" s="45">
        <v>-0.14910999999999999</v>
      </c>
      <c r="J26" s="45">
        <v>-0.14429999999999998</v>
      </c>
      <c r="K26" s="45">
        <v>-0.14910999999999999</v>
      </c>
      <c r="L26" s="45">
        <v>-0.14429999999999998</v>
      </c>
      <c r="M26" s="45">
        <v>-0.14910999999999999</v>
      </c>
      <c r="N26" s="45">
        <v>-1.7556500000000004</v>
      </c>
    </row>
    <row r="27" spans="1:14" x14ac:dyDescent="0.3">
      <c r="A27" s="44">
        <v>0.95833333333333337</v>
      </c>
      <c r="B27" s="45">
        <v>-0.14910999999999999</v>
      </c>
      <c r="C27" s="45">
        <v>-0.13467999999999997</v>
      </c>
      <c r="D27" s="45">
        <v>-0.14910999999999999</v>
      </c>
      <c r="E27" s="45">
        <v>-0.14429999999999998</v>
      </c>
      <c r="F27" s="45">
        <v>-0.14910999999999999</v>
      </c>
      <c r="G27" s="45">
        <v>-0.14429999999999998</v>
      </c>
      <c r="H27" s="45">
        <v>-0.14910999999999999</v>
      </c>
      <c r="I27" s="45">
        <v>-0.14910999999999999</v>
      </c>
      <c r="J27" s="45">
        <v>-0.14429999999999998</v>
      </c>
      <c r="K27" s="45">
        <v>-0.14910999999999999</v>
      </c>
      <c r="L27" s="45">
        <v>-0.14429999999999998</v>
      </c>
      <c r="M27" s="45">
        <v>-0.14910999999999999</v>
      </c>
      <c r="N27" s="45">
        <v>-1.7556500000000004</v>
      </c>
    </row>
    <row r="28" spans="1:14" x14ac:dyDescent="0.3">
      <c r="A28" s="46" t="s">
        <v>135</v>
      </c>
      <c r="B28" s="47">
        <v>5286.8343059999979</v>
      </c>
      <c r="C28" s="47">
        <v>5951.8225430000002</v>
      </c>
      <c r="D28" s="47">
        <v>7751.5789059999997</v>
      </c>
      <c r="E28" s="47">
        <v>8924.4084060000005</v>
      </c>
      <c r="F28" s="47">
        <v>10217.633232</v>
      </c>
      <c r="G28" s="47">
        <v>10005.076025999999</v>
      </c>
      <c r="H28" s="47">
        <v>9031.0920579999984</v>
      </c>
      <c r="I28" s="47">
        <v>8347.3062929999978</v>
      </c>
      <c r="J28" s="47">
        <v>7169.2854460000008</v>
      </c>
      <c r="K28" s="47">
        <v>6662.2561479999977</v>
      </c>
      <c r="L28" s="47">
        <v>5360.6315420000001</v>
      </c>
      <c r="M28" s="47">
        <v>4705.1865439999974</v>
      </c>
      <c r="N28" s="47">
        <v>89413.111449999968</v>
      </c>
    </row>
    <row r="29" spans="1:14" x14ac:dyDescent="0.3">
      <c r="A29" t="s">
        <v>136</v>
      </c>
      <c r="B29" s="48">
        <v>12</v>
      </c>
      <c r="C29" s="48">
        <v>12</v>
      </c>
      <c r="D29" s="48">
        <v>0</v>
      </c>
      <c r="E29" s="48">
        <v>0</v>
      </c>
      <c r="F29" s="48">
        <v>0</v>
      </c>
      <c r="G29" s="48">
        <v>15</v>
      </c>
      <c r="H29" s="48">
        <v>15</v>
      </c>
      <c r="I29" s="48">
        <v>15</v>
      </c>
      <c r="J29" s="48">
        <v>15</v>
      </c>
      <c r="K29" s="48">
        <v>12</v>
      </c>
      <c r="L29" s="48">
        <v>12</v>
      </c>
      <c r="M29" s="48">
        <v>12</v>
      </c>
    </row>
    <row r="30" spans="1:14" x14ac:dyDescent="0.3">
      <c r="A30" t="s">
        <v>137</v>
      </c>
      <c r="B30" s="49">
        <v>5286.8343059999979</v>
      </c>
      <c r="C30" s="49">
        <v>5951.8225430000002</v>
      </c>
      <c r="D30" s="49">
        <v>7751.5789059999997</v>
      </c>
      <c r="E30" s="49">
        <v>8924.4084060000005</v>
      </c>
      <c r="F30" s="49">
        <v>10217.633232</v>
      </c>
      <c r="G30" s="49">
        <v>10005.076025999999</v>
      </c>
      <c r="H30" s="49">
        <v>9031.0920579999984</v>
      </c>
      <c r="I30" s="49">
        <v>8347.3062929999978</v>
      </c>
      <c r="J30" s="49">
        <v>7169.2854460000008</v>
      </c>
      <c r="K30" s="49">
        <v>6662.2561479999977</v>
      </c>
      <c r="L30" s="49">
        <v>5360.6315420000001</v>
      </c>
      <c r="M30" s="49">
        <v>4705.1865439999974</v>
      </c>
      <c r="N30" s="49">
        <v>89413.111449999968</v>
      </c>
    </row>
    <row r="31" spans="1:14" x14ac:dyDescent="0.3">
      <c r="A31" t="s">
        <v>333</v>
      </c>
      <c r="B31" s="81">
        <v>7280</v>
      </c>
      <c r="C31" s="81">
        <v>7698</v>
      </c>
      <c r="D31" s="49">
        <v>13033</v>
      </c>
      <c r="E31" s="49">
        <v>13808</v>
      </c>
      <c r="F31" s="49">
        <v>13402</v>
      </c>
      <c r="G31" s="215">
        <v>12683</v>
      </c>
      <c r="H31" s="215">
        <v>11003</v>
      </c>
      <c r="I31" s="215">
        <v>10503</v>
      </c>
      <c r="J31" s="81">
        <v>9258</v>
      </c>
      <c r="K31" s="81">
        <v>11604</v>
      </c>
      <c r="L31" s="81">
        <v>10859</v>
      </c>
      <c r="M31" s="81">
        <v>6521</v>
      </c>
      <c r="N31" s="49">
        <f>SUM(B31:M31)</f>
        <v>127652</v>
      </c>
    </row>
    <row r="32" spans="1:14" x14ac:dyDescent="0.3">
      <c r="A32" t="s">
        <v>138</v>
      </c>
      <c r="B32" s="50">
        <f>B29*31*16</f>
        <v>5952</v>
      </c>
      <c r="C32" s="50">
        <f>C29*16*28</f>
        <v>5376</v>
      </c>
      <c r="D32" s="50">
        <f>D29*31*16</f>
        <v>0</v>
      </c>
      <c r="E32" s="50">
        <f>E29*16*30</f>
        <v>0</v>
      </c>
      <c r="F32" s="50">
        <f>F29*31*16</f>
        <v>0</v>
      </c>
      <c r="G32" s="50">
        <f>G29*16*30</f>
        <v>7200</v>
      </c>
      <c r="H32" s="50">
        <f>H29*31*16</f>
        <v>7440</v>
      </c>
      <c r="I32" s="50">
        <f>I29*31*16</f>
        <v>7440</v>
      </c>
      <c r="J32" s="50">
        <f>J29*16*30</f>
        <v>7200</v>
      </c>
      <c r="K32" s="50">
        <f>K29*31*16</f>
        <v>5952</v>
      </c>
      <c r="L32" s="50">
        <f>L29*16*30</f>
        <v>5760</v>
      </c>
      <c r="M32" s="50">
        <f>M29*31*16</f>
        <v>5952</v>
      </c>
      <c r="N32" s="50">
        <f>SUM(B32:M32)</f>
        <v>58272</v>
      </c>
    </row>
    <row r="33" spans="1:21" x14ac:dyDescent="0.3">
      <c r="A33" s="37" t="s">
        <v>139</v>
      </c>
      <c r="B33" s="51">
        <f>SUM(B30:B32)</f>
        <v>18518.834305999997</v>
      </c>
      <c r="C33" s="51">
        <f t="shared" ref="C33:M33" si="0">SUM(C30:C32)</f>
        <v>19025.822543000002</v>
      </c>
      <c r="D33" s="51">
        <f t="shared" si="0"/>
        <v>20784.578905999999</v>
      </c>
      <c r="E33" s="51">
        <f t="shared" si="0"/>
        <v>22732.408406000002</v>
      </c>
      <c r="F33" s="51">
        <f t="shared" si="0"/>
        <v>23619.633232</v>
      </c>
      <c r="G33" s="51">
        <f t="shared" si="0"/>
        <v>29888.076025999999</v>
      </c>
      <c r="H33" s="51">
        <f t="shared" si="0"/>
        <v>27474.092057999998</v>
      </c>
      <c r="I33" s="51">
        <f t="shared" si="0"/>
        <v>26290.306292999998</v>
      </c>
      <c r="J33" s="51">
        <f t="shared" si="0"/>
        <v>23627.285446000002</v>
      </c>
      <c r="K33" s="51">
        <f t="shared" si="0"/>
        <v>24218.256147999997</v>
      </c>
      <c r="L33" s="51">
        <f t="shared" si="0"/>
        <v>21979.631541999999</v>
      </c>
      <c r="M33" s="51">
        <f t="shared" si="0"/>
        <v>17178.186543999997</v>
      </c>
      <c r="N33" s="51">
        <f>SUM(N30:N32)</f>
        <v>275337.11144999997</v>
      </c>
    </row>
    <row r="34" spans="1:21" x14ac:dyDescent="0.3">
      <c r="A34" t="s">
        <v>140</v>
      </c>
      <c r="B34" s="52">
        <v>26.241986000000001</v>
      </c>
      <c r="C34" s="52">
        <v>30</v>
      </c>
      <c r="D34" s="52">
        <v>30</v>
      </c>
      <c r="E34" s="52">
        <v>30</v>
      </c>
      <c r="F34" s="52">
        <v>30</v>
      </c>
      <c r="G34" s="52">
        <v>30</v>
      </c>
      <c r="H34" s="52">
        <v>30</v>
      </c>
      <c r="I34" s="52">
        <v>30</v>
      </c>
      <c r="J34" s="52">
        <v>28.970178000000001</v>
      </c>
      <c r="K34" s="52">
        <v>28.747592000000001</v>
      </c>
      <c r="L34" s="52">
        <v>26.261766999999999</v>
      </c>
      <c r="M34" s="52">
        <v>24.335498999999999</v>
      </c>
    </row>
    <row r="35" spans="1:21" x14ac:dyDescent="0.3">
      <c r="A35" s="37" t="s">
        <v>141</v>
      </c>
      <c r="B35" s="37">
        <v>26</v>
      </c>
      <c r="C35" s="37">
        <v>30</v>
      </c>
      <c r="D35" s="37">
        <v>32</v>
      </c>
      <c r="E35" s="37">
        <v>32</v>
      </c>
      <c r="F35" s="37">
        <v>32</v>
      </c>
      <c r="G35" s="37">
        <v>32</v>
      </c>
      <c r="H35" s="37">
        <v>30</v>
      </c>
      <c r="I35" s="37">
        <v>30</v>
      </c>
      <c r="J35" s="37">
        <v>30</v>
      </c>
      <c r="K35" s="37">
        <v>29</v>
      </c>
      <c r="L35" s="37">
        <v>27</v>
      </c>
      <c r="M35" s="37">
        <v>25</v>
      </c>
    </row>
    <row r="36" spans="1:21" x14ac:dyDescent="0.3">
      <c r="A36" s="37" t="s">
        <v>142</v>
      </c>
      <c r="B36" s="37">
        <f>B35*31*16</f>
        <v>12896</v>
      </c>
      <c r="C36" s="37">
        <f>C35*28*16</f>
        <v>13440</v>
      </c>
      <c r="D36" s="37">
        <f>D35*31*16</f>
        <v>15872</v>
      </c>
      <c r="E36" s="37">
        <f>E35*16*30</f>
        <v>15360</v>
      </c>
      <c r="F36" s="37">
        <f>F35*31*16</f>
        <v>15872</v>
      </c>
      <c r="G36" s="37">
        <f>G35*16*30</f>
        <v>15360</v>
      </c>
      <c r="H36" s="37">
        <f>H35*31*16</f>
        <v>14880</v>
      </c>
      <c r="I36" s="37">
        <f>I35*31*16</f>
        <v>14880</v>
      </c>
      <c r="J36" s="37">
        <f>J35*16*30</f>
        <v>14400</v>
      </c>
      <c r="K36" s="37">
        <f>K35*31*16</f>
        <v>14384</v>
      </c>
      <c r="L36" s="37">
        <f>L35*16*30</f>
        <v>12960</v>
      </c>
      <c r="M36" s="37">
        <f>M35*31*16</f>
        <v>12400</v>
      </c>
      <c r="N36" s="37">
        <f>SUM(B36:M36)</f>
        <v>172704</v>
      </c>
    </row>
    <row r="37" spans="1:21" x14ac:dyDescent="0.3">
      <c r="A37" t="s">
        <v>143</v>
      </c>
      <c r="B37" s="53">
        <v>0</v>
      </c>
      <c r="C37" s="53">
        <v>0</v>
      </c>
      <c r="D37" s="53">
        <v>0</v>
      </c>
      <c r="E37" s="53">
        <v>0</v>
      </c>
      <c r="F37" s="53">
        <v>0</v>
      </c>
      <c r="G37" s="53">
        <v>0</v>
      </c>
      <c r="H37" s="53">
        <v>0</v>
      </c>
      <c r="I37" s="53">
        <v>0</v>
      </c>
      <c r="J37" s="53">
        <v>0</v>
      </c>
      <c r="K37" s="53">
        <v>0</v>
      </c>
      <c r="L37" s="53">
        <v>0</v>
      </c>
      <c r="M37" s="53">
        <v>0</v>
      </c>
    </row>
    <row r="38" spans="1:21" x14ac:dyDescent="0.3">
      <c r="A38" t="s">
        <v>164</v>
      </c>
      <c r="B38" s="53">
        <f>B37*31*16</f>
        <v>0</v>
      </c>
      <c r="C38" s="53">
        <f>C37*28*16</f>
        <v>0</v>
      </c>
      <c r="D38" s="53">
        <f>D37*31*16</f>
        <v>0</v>
      </c>
      <c r="E38" s="53">
        <f>E37*16*30</f>
        <v>0</v>
      </c>
      <c r="F38" s="53">
        <f>F37*31*16</f>
        <v>0</v>
      </c>
      <c r="G38" s="53">
        <f>G37*16*30</f>
        <v>0</v>
      </c>
      <c r="H38" s="53">
        <f>H37*31*16</f>
        <v>0</v>
      </c>
      <c r="I38" s="53">
        <f>I37*31*16</f>
        <v>0</v>
      </c>
      <c r="J38" s="53">
        <f>J37*16*30</f>
        <v>0</v>
      </c>
      <c r="K38" s="53">
        <f>K37*31*16</f>
        <v>0</v>
      </c>
      <c r="L38" s="53">
        <f>L37*16*30</f>
        <v>0</v>
      </c>
      <c r="M38" s="53">
        <f>M37*31*16</f>
        <v>0</v>
      </c>
      <c r="N38">
        <f>SUM(B38:M38)</f>
        <v>0</v>
      </c>
    </row>
    <row r="39" spans="1:21" x14ac:dyDescent="0.3">
      <c r="A39" s="37" t="s">
        <v>144</v>
      </c>
      <c r="B39" s="37">
        <v>26</v>
      </c>
      <c r="C39" s="37">
        <v>30</v>
      </c>
      <c r="D39" s="37">
        <v>32</v>
      </c>
      <c r="E39" s="37">
        <v>32</v>
      </c>
      <c r="F39" s="37">
        <v>32</v>
      </c>
      <c r="G39" s="37">
        <v>32</v>
      </c>
      <c r="H39" s="37">
        <v>30</v>
      </c>
      <c r="I39" s="37">
        <v>30</v>
      </c>
      <c r="J39" s="37">
        <v>30</v>
      </c>
      <c r="K39" s="37">
        <v>29</v>
      </c>
      <c r="L39" s="37">
        <v>27</v>
      </c>
      <c r="M39" s="37">
        <v>25</v>
      </c>
    </row>
    <row r="40" spans="1:21" x14ac:dyDescent="0.3">
      <c r="B40" s="486"/>
      <c r="C40" s="486"/>
      <c r="D40" s="486"/>
      <c r="E40" s="486"/>
      <c r="F40" s="486"/>
      <c r="G40" s="54"/>
      <c r="H40" s="487"/>
      <c r="I40" s="487"/>
      <c r="J40" s="54"/>
      <c r="K40" s="487"/>
      <c r="L40" s="487"/>
      <c r="M40" s="487"/>
      <c r="O40" s="84"/>
      <c r="P40" s="84"/>
      <c r="Q40" s="92"/>
    </row>
    <row r="41" spans="1:21" x14ac:dyDescent="0.3">
      <c r="A41" t="s">
        <v>145</v>
      </c>
      <c r="B41" s="49">
        <f>B33-B36</f>
        <v>5622.834305999997</v>
      </c>
      <c r="C41" s="49">
        <f t="shared" ref="C41:M41" si="1">C33-C36</f>
        <v>5585.822543000002</v>
      </c>
      <c r="D41" s="49">
        <f t="shared" si="1"/>
        <v>4912.5789059999988</v>
      </c>
      <c r="E41" s="49">
        <f t="shared" si="1"/>
        <v>7372.4084060000023</v>
      </c>
      <c r="F41" s="49">
        <f t="shared" si="1"/>
        <v>7747.6332320000001</v>
      </c>
      <c r="G41" s="100">
        <f t="shared" si="1"/>
        <v>14528.076025999999</v>
      </c>
      <c r="H41" s="100">
        <f t="shared" si="1"/>
        <v>12594.092057999998</v>
      </c>
      <c r="I41" s="100">
        <f t="shared" si="1"/>
        <v>11410.306292999998</v>
      </c>
      <c r="J41" s="49">
        <f t="shared" si="1"/>
        <v>9227.2854460000017</v>
      </c>
      <c r="K41" s="49">
        <f t="shared" si="1"/>
        <v>9834.2561479999968</v>
      </c>
      <c r="L41" s="49">
        <f t="shared" si="1"/>
        <v>9019.6315419999992</v>
      </c>
      <c r="M41" s="49">
        <f t="shared" si="1"/>
        <v>4778.1865439999965</v>
      </c>
      <c r="N41" s="102">
        <f>SUM(B41:M41)</f>
        <v>102633.11145</v>
      </c>
      <c r="O41" s="102"/>
      <c r="P41" s="103"/>
    </row>
    <row r="42" spans="1:21" s="92" customFormat="1" x14ac:dyDescent="0.3">
      <c r="A42" s="92" t="s">
        <v>201</v>
      </c>
      <c r="B42" s="49">
        <f>IF(B41&gt;B31,B41-B31,0)</f>
        <v>0</v>
      </c>
      <c r="C42" s="49">
        <f t="shared" ref="C42:M42" si="2">IF(C41&gt;C31,C41-C31,0)</f>
        <v>0</v>
      </c>
      <c r="D42" s="49">
        <f t="shared" si="2"/>
        <v>0</v>
      </c>
      <c r="E42" s="49">
        <f t="shared" si="2"/>
        <v>0</v>
      </c>
      <c r="F42" s="49">
        <f t="shared" si="2"/>
        <v>0</v>
      </c>
      <c r="G42" s="49">
        <f t="shared" si="2"/>
        <v>1845.0760259999988</v>
      </c>
      <c r="H42" s="49">
        <f t="shared" si="2"/>
        <v>1591.0920579999984</v>
      </c>
      <c r="I42" s="49">
        <f t="shared" si="2"/>
        <v>907.30629299999782</v>
      </c>
      <c r="J42" s="49">
        <f t="shared" si="2"/>
        <v>0</v>
      </c>
      <c r="K42" s="49">
        <f t="shared" si="2"/>
        <v>0</v>
      </c>
      <c r="L42" s="49">
        <f t="shared" si="2"/>
        <v>0</v>
      </c>
      <c r="M42" s="49">
        <f t="shared" si="2"/>
        <v>0</v>
      </c>
      <c r="N42" s="102">
        <f>SUM(B42:M42)</f>
        <v>4343.474376999995</v>
      </c>
      <c r="O42" s="102"/>
      <c r="P42" s="93"/>
      <c r="U42" s="93"/>
    </row>
    <row r="43" spans="1:21" s="92" customFormat="1" x14ac:dyDescent="0.3">
      <c r="A43" s="92" t="s">
        <v>202</v>
      </c>
      <c r="B43" s="49">
        <f>B41-B42</f>
        <v>5622.834305999997</v>
      </c>
      <c r="C43" s="49">
        <f t="shared" ref="C43:M43" si="3">C41-C42</f>
        <v>5585.822543000002</v>
      </c>
      <c r="D43" s="49">
        <f t="shared" si="3"/>
        <v>4912.5789059999988</v>
      </c>
      <c r="E43" s="49">
        <f t="shared" si="3"/>
        <v>7372.4084060000023</v>
      </c>
      <c r="F43" s="49">
        <f t="shared" si="3"/>
        <v>7747.6332320000001</v>
      </c>
      <c r="G43" s="49">
        <f t="shared" si="3"/>
        <v>12683</v>
      </c>
      <c r="H43" s="49">
        <f t="shared" si="3"/>
        <v>11003</v>
      </c>
      <c r="I43" s="49">
        <f t="shared" si="3"/>
        <v>10503</v>
      </c>
      <c r="J43" s="49">
        <f t="shared" si="3"/>
        <v>9227.2854460000017</v>
      </c>
      <c r="K43" s="49">
        <f t="shared" si="3"/>
        <v>9834.2561479999968</v>
      </c>
      <c r="L43" s="49">
        <f t="shared" si="3"/>
        <v>9019.6315419999992</v>
      </c>
      <c r="M43" s="49">
        <f t="shared" si="3"/>
        <v>4778.1865439999965</v>
      </c>
      <c r="N43" s="49">
        <f>SUM(B43:M43)</f>
        <v>98289.637072999991</v>
      </c>
      <c r="O43" s="49"/>
      <c r="P43" s="93"/>
      <c r="U43" s="93"/>
    </row>
    <row r="44" spans="1:21" x14ac:dyDescent="0.3">
      <c r="A44" t="s">
        <v>469</v>
      </c>
      <c r="B44" s="55">
        <f>B41/31</f>
        <v>181.38175180645152</v>
      </c>
      <c r="C44" s="55">
        <f>C41/28</f>
        <v>199.49366225000009</v>
      </c>
      <c r="D44" s="55">
        <f>D41/31</f>
        <v>158.47028729032255</v>
      </c>
      <c r="E44" s="55">
        <f>E41/30</f>
        <v>245.74694686666675</v>
      </c>
      <c r="F44" s="55">
        <f>F41/31</f>
        <v>249.9236526451613</v>
      </c>
      <c r="G44" s="55">
        <f>G41/30</f>
        <v>484.26920086666661</v>
      </c>
      <c r="H44" s="55">
        <f>H41/31</f>
        <v>406.26103412903223</v>
      </c>
      <c r="I44" s="55">
        <f>I41/31</f>
        <v>368.07439654838703</v>
      </c>
      <c r="J44" s="55">
        <f>J41/30</f>
        <v>307.5761815333334</v>
      </c>
      <c r="K44" s="55">
        <f>K41/31</f>
        <v>317.23406929032245</v>
      </c>
      <c r="L44" s="55">
        <f>L41/30</f>
        <v>300.6543847333333</v>
      </c>
      <c r="M44" s="55">
        <f>M41/31</f>
        <v>154.13504980645149</v>
      </c>
      <c r="N44" s="55"/>
      <c r="P44" s="93"/>
      <c r="Q44" s="92"/>
      <c r="U44" s="93"/>
    </row>
    <row r="45" spans="1:21" x14ac:dyDescent="0.3">
      <c r="B45" s="58"/>
      <c r="C45" s="58"/>
      <c r="D45" s="58"/>
      <c r="E45" s="58"/>
      <c r="F45" s="58"/>
      <c r="G45" s="330"/>
      <c r="H45" s="330"/>
      <c r="I45" s="330"/>
      <c r="J45" s="58"/>
      <c r="K45" s="58"/>
      <c r="L45" s="58"/>
      <c r="M45" s="58"/>
      <c r="P45" s="93"/>
      <c r="U45" s="93"/>
    </row>
    <row r="46" spans="1:21" x14ac:dyDescent="0.3">
      <c r="B46" s="55"/>
      <c r="C46" s="55"/>
      <c r="D46" s="55"/>
      <c r="E46" s="55"/>
      <c r="F46" s="55"/>
      <c r="G46" s="55"/>
      <c r="H46" s="55"/>
      <c r="I46" s="55"/>
      <c r="J46" s="55"/>
      <c r="K46" s="55"/>
      <c r="L46" s="55"/>
      <c r="M46" s="55"/>
      <c r="P46" s="93"/>
      <c r="Q46" s="92"/>
      <c r="R46" s="92"/>
      <c r="U46" s="93"/>
    </row>
    <row r="47" spans="1:21" x14ac:dyDescent="0.3">
      <c r="G47" s="54" t="s">
        <v>146</v>
      </c>
      <c r="P47" s="57"/>
      <c r="U47" s="121"/>
    </row>
    <row r="48" spans="1:21" x14ac:dyDescent="0.3">
      <c r="A48" s="42" t="s">
        <v>134</v>
      </c>
      <c r="B48" s="43">
        <v>1</v>
      </c>
      <c r="C48" s="43">
        <v>2</v>
      </c>
      <c r="D48" s="43">
        <v>3</v>
      </c>
      <c r="E48" s="43">
        <v>4</v>
      </c>
      <c r="F48" s="43">
        <v>5</v>
      </c>
      <c r="G48" s="43">
        <v>6</v>
      </c>
      <c r="H48" s="43">
        <v>7</v>
      </c>
      <c r="I48" s="43">
        <v>8</v>
      </c>
      <c r="J48" s="43">
        <v>9</v>
      </c>
      <c r="K48" s="43">
        <v>10</v>
      </c>
      <c r="L48" s="43">
        <v>11</v>
      </c>
      <c r="M48" s="43">
        <v>12</v>
      </c>
      <c r="N48" s="42"/>
      <c r="U48" s="93"/>
    </row>
    <row r="49" spans="1:14" x14ac:dyDescent="0.3">
      <c r="A49" s="44">
        <v>0</v>
      </c>
      <c r="B49" s="45">
        <f t="shared" ref="B49:B72" si="4">B4/31</f>
        <v>-4.81E-3</v>
      </c>
      <c r="C49" s="45">
        <f t="shared" ref="C49:C72" si="5">C4/28</f>
        <v>-4.8099999999999992E-3</v>
      </c>
      <c r="D49" s="45">
        <f t="shared" ref="D49:D72" si="6">D4/31</f>
        <v>-4.81E-3</v>
      </c>
      <c r="E49" s="45">
        <f t="shared" ref="E49:E72" si="7">E4/30</f>
        <v>-4.8099999999999992E-3</v>
      </c>
      <c r="F49" s="45">
        <f t="shared" ref="F49:F72" si="8">F4/31</f>
        <v>-4.81E-3</v>
      </c>
      <c r="G49" s="45">
        <f t="shared" ref="G49:G72" si="9">G4/30</f>
        <v>-4.8099999999999992E-3</v>
      </c>
      <c r="H49" s="45">
        <f t="shared" ref="H49:I72" si="10">H4/31</f>
        <v>-4.81E-3</v>
      </c>
      <c r="I49" s="45">
        <f t="shared" si="10"/>
        <v>-4.81E-3</v>
      </c>
      <c r="J49" s="45">
        <f t="shared" ref="J49:J72" si="11">J4/30</f>
        <v>-4.8099999999999992E-3</v>
      </c>
      <c r="K49" s="45">
        <f t="shared" ref="K49:K72" si="12">K4/31</f>
        <v>-4.81E-3</v>
      </c>
      <c r="L49" s="45">
        <f t="shared" ref="L49:L72" si="13">L4/30</f>
        <v>-4.8099999999999992E-3</v>
      </c>
      <c r="M49" s="45">
        <f t="shared" ref="M49:M72" si="14">M4/31</f>
        <v>-4.81E-3</v>
      </c>
      <c r="N49" s="45"/>
    </row>
    <row r="50" spans="1:14" x14ac:dyDescent="0.3">
      <c r="A50" s="44">
        <v>4.1666666666666664E-2</v>
      </c>
      <c r="B50" s="45">
        <f t="shared" si="4"/>
        <v>-4.81E-3</v>
      </c>
      <c r="C50" s="45">
        <f t="shared" si="5"/>
        <v>-4.8099999999999992E-3</v>
      </c>
      <c r="D50" s="45">
        <f t="shared" si="6"/>
        <v>-4.81E-3</v>
      </c>
      <c r="E50" s="45">
        <f t="shared" si="7"/>
        <v>-4.8099999999999992E-3</v>
      </c>
      <c r="F50" s="45">
        <f t="shared" si="8"/>
        <v>-4.81E-3</v>
      </c>
      <c r="G50" s="45">
        <f t="shared" si="9"/>
        <v>-4.8099999999999992E-3</v>
      </c>
      <c r="H50" s="45">
        <f t="shared" si="10"/>
        <v>-4.81E-3</v>
      </c>
      <c r="I50" s="45">
        <f t="shared" si="10"/>
        <v>-4.81E-3</v>
      </c>
      <c r="J50" s="45">
        <f t="shared" si="11"/>
        <v>-4.8099999999999992E-3</v>
      </c>
      <c r="K50" s="45">
        <f t="shared" si="12"/>
        <v>-4.81E-3</v>
      </c>
      <c r="L50" s="45">
        <f t="shared" si="13"/>
        <v>-4.8099999999999992E-3</v>
      </c>
      <c r="M50" s="45">
        <f t="shared" si="14"/>
        <v>-4.81E-3</v>
      </c>
      <c r="N50" s="45"/>
    </row>
    <row r="51" spans="1:14" x14ac:dyDescent="0.3">
      <c r="A51" s="44">
        <v>8.3333333333333329E-2</v>
      </c>
      <c r="B51" s="45">
        <f t="shared" si="4"/>
        <v>-4.81E-3</v>
      </c>
      <c r="C51" s="45">
        <f t="shared" si="5"/>
        <v>-4.8099999999999992E-3</v>
      </c>
      <c r="D51" s="45">
        <f t="shared" si="6"/>
        <v>-4.81E-3</v>
      </c>
      <c r="E51" s="45">
        <f t="shared" si="7"/>
        <v>-4.8099999999999992E-3</v>
      </c>
      <c r="F51" s="45">
        <f t="shared" si="8"/>
        <v>-4.81E-3</v>
      </c>
      <c r="G51" s="45">
        <f t="shared" si="9"/>
        <v>-4.8099999999999992E-3</v>
      </c>
      <c r="H51" s="45">
        <f t="shared" si="10"/>
        <v>-4.81E-3</v>
      </c>
      <c r="I51" s="45">
        <f t="shared" si="10"/>
        <v>-4.81E-3</v>
      </c>
      <c r="J51" s="45">
        <f t="shared" si="11"/>
        <v>-4.8099999999999992E-3</v>
      </c>
      <c r="K51" s="45">
        <f t="shared" si="12"/>
        <v>-4.81E-3</v>
      </c>
      <c r="L51" s="45">
        <f t="shared" si="13"/>
        <v>-4.8099999999999992E-3</v>
      </c>
      <c r="M51" s="45">
        <f t="shared" si="14"/>
        <v>-4.81E-3</v>
      </c>
      <c r="N51" s="45"/>
    </row>
    <row r="52" spans="1:14" x14ac:dyDescent="0.3">
      <c r="A52" s="44">
        <v>0.125</v>
      </c>
      <c r="B52" s="45">
        <f t="shared" si="4"/>
        <v>-4.81E-3</v>
      </c>
      <c r="C52" s="45">
        <f t="shared" si="5"/>
        <v>-4.8099999999999992E-3</v>
      </c>
      <c r="D52" s="45">
        <f t="shared" si="6"/>
        <v>-4.81E-3</v>
      </c>
      <c r="E52" s="45">
        <f t="shared" si="7"/>
        <v>-4.8099999999999992E-3</v>
      </c>
      <c r="F52" s="45">
        <f t="shared" si="8"/>
        <v>-4.81E-3</v>
      </c>
      <c r="G52" s="45">
        <f t="shared" si="9"/>
        <v>-4.8099999999999992E-3</v>
      </c>
      <c r="H52" s="45">
        <f t="shared" si="10"/>
        <v>-4.81E-3</v>
      </c>
      <c r="I52" s="45">
        <f t="shared" si="10"/>
        <v>-4.81E-3</v>
      </c>
      <c r="J52" s="45">
        <f t="shared" si="11"/>
        <v>-4.8099999999999992E-3</v>
      </c>
      <c r="K52" s="45">
        <f t="shared" si="12"/>
        <v>-4.81E-3</v>
      </c>
      <c r="L52" s="45">
        <f t="shared" si="13"/>
        <v>-4.8099999999999992E-3</v>
      </c>
      <c r="M52" s="45">
        <f t="shared" si="14"/>
        <v>-4.81E-3</v>
      </c>
      <c r="N52" s="45"/>
    </row>
    <row r="53" spans="1:14" x14ac:dyDescent="0.3">
      <c r="A53" s="44">
        <v>0.16666666666666666</v>
      </c>
      <c r="B53" s="45">
        <f t="shared" si="4"/>
        <v>-4.81E-3</v>
      </c>
      <c r="C53" s="45">
        <f t="shared" si="5"/>
        <v>-4.8099999999999992E-3</v>
      </c>
      <c r="D53" s="45">
        <f t="shared" si="6"/>
        <v>-4.81E-3</v>
      </c>
      <c r="E53" s="45">
        <f t="shared" si="7"/>
        <v>-4.8099999999999992E-3</v>
      </c>
      <c r="F53" s="45">
        <f t="shared" si="8"/>
        <v>-4.81E-3</v>
      </c>
      <c r="G53" s="45">
        <f t="shared" si="9"/>
        <v>-4.8099999999999992E-3</v>
      </c>
      <c r="H53" s="45">
        <f t="shared" si="10"/>
        <v>-4.81E-3</v>
      </c>
      <c r="I53" s="45">
        <f t="shared" si="10"/>
        <v>-4.81E-3</v>
      </c>
      <c r="J53" s="45">
        <f t="shared" si="11"/>
        <v>-4.8099999999999992E-3</v>
      </c>
      <c r="K53" s="45">
        <f t="shared" si="12"/>
        <v>-4.81E-3</v>
      </c>
      <c r="L53" s="45">
        <f t="shared" si="13"/>
        <v>-4.8099999999999992E-3</v>
      </c>
      <c r="M53" s="45">
        <f t="shared" si="14"/>
        <v>-4.81E-3</v>
      </c>
      <c r="N53" s="45"/>
    </row>
    <row r="54" spans="1:14" x14ac:dyDescent="0.3">
      <c r="A54" s="44">
        <v>0.20833333333333334</v>
      </c>
      <c r="B54" s="45">
        <f t="shared" si="4"/>
        <v>-4.81E-3</v>
      </c>
      <c r="C54" s="45">
        <f t="shared" si="5"/>
        <v>-4.8099999999999992E-3</v>
      </c>
      <c r="D54" s="45">
        <f t="shared" si="6"/>
        <v>-4.81E-3</v>
      </c>
      <c r="E54" s="45">
        <f t="shared" si="7"/>
        <v>-4.8099999999999992E-3</v>
      </c>
      <c r="F54" s="45">
        <f t="shared" si="8"/>
        <v>1.1527387096774195E-2</v>
      </c>
      <c r="G54" s="45">
        <f t="shared" si="9"/>
        <v>9.576659999999998E-2</v>
      </c>
      <c r="H54" s="45">
        <f t="shared" si="10"/>
        <v>4.5677419354840014E-5</v>
      </c>
      <c r="I54" s="45">
        <f t="shared" si="10"/>
        <v>-4.81E-3</v>
      </c>
      <c r="J54" s="45">
        <f t="shared" si="11"/>
        <v>-4.8099999999999992E-3</v>
      </c>
      <c r="K54" s="45">
        <f t="shared" si="12"/>
        <v>-4.81E-3</v>
      </c>
      <c r="L54" s="45">
        <f t="shared" si="13"/>
        <v>-4.8099999999999992E-3</v>
      </c>
      <c r="M54" s="45">
        <f t="shared" si="14"/>
        <v>-4.81E-3</v>
      </c>
      <c r="N54" s="45"/>
    </row>
    <row r="55" spans="1:14" x14ac:dyDescent="0.3">
      <c r="A55" s="44">
        <v>0.25</v>
      </c>
      <c r="B55" s="45">
        <f t="shared" si="4"/>
        <v>-4.81E-3</v>
      </c>
      <c r="C55" s="45">
        <f t="shared" si="5"/>
        <v>-4.8099999999999992E-3</v>
      </c>
      <c r="D55" s="45">
        <f t="shared" si="6"/>
        <v>2.3578967741935488E-2</v>
      </c>
      <c r="E55" s="45">
        <f t="shared" si="7"/>
        <v>2.4934626000000009</v>
      </c>
      <c r="F55" s="45">
        <f t="shared" si="8"/>
        <v>9.2489196451612905</v>
      </c>
      <c r="G55" s="45">
        <f t="shared" si="9"/>
        <v>10.309158733333334</v>
      </c>
      <c r="H55" s="45">
        <f t="shared" si="10"/>
        <v>4.8753241612903215</v>
      </c>
      <c r="I55" s="45">
        <f t="shared" si="10"/>
        <v>2.6935267741935482</v>
      </c>
      <c r="J55" s="45">
        <f t="shared" si="11"/>
        <v>0.77067376666666665</v>
      </c>
      <c r="K55" s="45">
        <f t="shared" si="12"/>
        <v>1.4800290322580661E-2</v>
      </c>
      <c r="L55" s="45">
        <f t="shared" si="13"/>
        <v>-4.8099999999999992E-3</v>
      </c>
      <c r="M55" s="45">
        <f t="shared" si="14"/>
        <v>-4.81E-3</v>
      </c>
      <c r="N55" s="45"/>
    </row>
    <row r="56" spans="1:14" x14ac:dyDescent="0.3">
      <c r="A56" s="44">
        <v>0.29166666666666669</v>
      </c>
      <c r="B56" s="45">
        <f t="shared" si="4"/>
        <v>8.9573225806451658E-3</v>
      </c>
      <c r="C56" s="45">
        <f t="shared" si="5"/>
        <v>0.87992267857142858</v>
      </c>
      <c r="D56" s="45">
        <f t="shared" si="6"/>
        <v>7.3704549354838713</v>
      </c>
      <c r="E56" s="45">
        <f t="shared" si="7"/>
        <v>18.770129766666674</v>
      </c>
      <c r="F56" s="45">
        <f t="shared" si="8"/>
        <v>25.813243483870966</v>
      </c>
      <c r="G56" s="45">
        <f t="shared" si="9"/>
        <v>23.931382666666661</v>
      </c>
      <c r="H56" s="45">
        <f t="shared" si="10"/>
        <v>16.781654483870966</v>
      </c>
      <c r="I56" s="45">
        <f t="shared" si="10"/>
        <v>16.660325903225811</v>
      </c>
      <c r="J56" s="45">
        <f t="shared" si="11"/>
        <v>13.513940133333334</v>
      </c>
      <c r="K56" s="45">
        <f t="shared" si="12"/>
        <v>8.4675619999999991</v>
      </c>
      <c r="L56" s="45">
        <f t="shared" si="13"/>
        <v>2.596133</v>
      </c>
      <c r="M56" s="45">
        <f t="shared" si="14"/>
        <v>0.10934925806451616</v>
      </c>
      <c r="N56" s="45"/>
    </row>
    <row r="57" spans="1:14" x14ac:dyDescent="0.3">
      <c r="A57" s="44">
        <v>0.33333333333333331</v>
      </c>
      <c r="B57" s="45">
        <f t="shared" si="4"/>
        <v>9.3854497096774221</v>
      </c>
      <c r="C57" s="45">
        <f t="shared" si="5"/>
        <v>15.657165857142859</v>
      </c>
      <c r="D57" s="45">
        <f t="shared" si="6"/>
        <v>22.043812580645159</v>
      </c>
      <c r="E57" s="45">
        <f t="shared" si="7"/>
        <v>26.081534933333334</v>
      </c>
      <c r="F57" s="45">
        <f t="shared" si="8"/>
        <v>29.318930161290321</v>
      </c>
      <c r="G57" s="45">
        <f t="shared" si="9"/>
        <v>27.93710493333333</v>
      </c>
      <c r="H57" s="45">
        <f t="shared" si="10"/>
        <v>21.762345774193552</v>
      </c>
      <c r="I57" s="45">
        <f t="shared" si="10"/>
        <v>22.279198580645161</v>
      </c>
      <c r="J57" s="45">
        <f t="shared" si="11"/>
        <v>21.687907599999996</v>
      </c>
      <c r="K57" s="45">
        <f t="shared" si="12"/>
        <v>21.480516258064519</v>
      </c>
      <c r="L57" s="45">
        <f t="shared" si="13"/>
        <v>17.347148299999997</v>
      </c>
      <c r="M57" s="45">
        <f t="shared" si="14"/>
        <v>10.693613129032256</v>
      </c>
      <c r="N57" s="45"/>
    </row>
    <row r="58" spans="1:14" x14ac:dyDescent="0.3">
      <c r="A58" s="44">
        <v>0.375</v>
      </c>
      <c r="B58" s="45">
        <f t="shared" si="4"/>
        <v>20.956174193548382</v>
      </c>
      <c r="C58" s="45">
        <f t="shared" si="5"/>
        <v>23.48010728571429</v>
      </c>
      <c r="D58" s="45">
        <f t="shared" si="6"/>
        <v>23.906049741935483</v>
      </c>
      <c r="E58" s="45">
        <f t="shared" si="7"/>
        <v>27.330895866666662</v>
      </c>
      <c r="F58" s="45">
        <f t="shared" si="8"/>
        <v>29.831446645161289</v>
      </c>
      <c r="G58" s="45">
        <f t="shared" si="9"/>
        <v>29.350560566666665</v>
      </c>
      <c r="H58" s="45">
        <f t="shared" si="10"/>
        <v>24.768066032258066</v>
      </c>
      <c r="I58" s="45">
        <f t="shared" si="10"/>
        <v>25.575355709677421</v>
      </c>
      <c r="J58" s="45">
        <f t="shared" si="11"/>
        <v>23.362218366666671</v>
      </c>
      <c r="K58" s="45">
        <f t="shared" si="12"/>
        <v>23.9165933548387</v>
      </c>
      <c r="L58" s="45">
        <f t="shared" si="13"/>
        <v>21.072390533333337</v>
      </c>
      <c r="M58" s="45">
        <f t="shared" si="14"/>
        <v>19.314784612903228</v>
      </c>
      <c r="N58" s="45"/>
    </row>
    <row r="59" spans="1:14" x14ac:dyDescent="0.3">
      <c r="A59" s="44">
        <v>0.41666666666666669</v>
      </c>
      <c r="B59" s="45">
        <f t="shared" si="4"/>
        <v>20.476896806451617</v>
      </c>
      <c r="C59" s="45">
        <f t="shared" si="5"/>
        <v>23.747616000000001</v>
      </c>
      <c r="D59" s="45">
        <f t="shared" si="6"/>
        <v>24.987069870967737</v>
      </c>
      <c r="E59" s="45">
        <f t="shared" si="7"/>
        <v>28.290819899999999</v>
      </c>
      <c r="F59" s="45">
        <f t="shared" si="8"/>
        <v>29.830144967741937</v>
      </c>
      <c r="G59" s="45">
        <f t="shared" si="9"/>
        <v>29.851454133333338</v>
      </c>
      <c r="H59" s="45">
        <f t="shared" si="10"/>
        <v>26.802916419354837</v>
      </c>
      <c r="I59" s="45">
        <f t="shared" si="10"/>
        <v>26.921042290322578</v>
      </c>
      <c r="J59" s="45">
        <f t="shared" si="11"/>
        <v>24.380523833333335</v>
      </c>
      <c r="K59" s="45">
        <f t="shared" si="12"/>
        <v>23.80547961290323</v>
      </c>
      <c r="L59" s="45">
        <f t="shared" si="13"/>
        <v>21.92900903333333</v>
      </c>
      <c r="M59" s="45">
        <f t="shared" si="14"/>
        <v>19.854514903225809</v>
      </c>
      <c r="N59" s="45"/>
    </row>
    <row r="60" spans="1:14" x14ac:dyDescent="0.3">
      <c r="A60" s="44">
        <v>0.45833333333333331</v>
      </c>
      <c r="B60" s="45">
        <f t="shared" si="4"/>
        <v>19.826563612903225</v>
      </c>
      <c r="C60" s="45">
        <f t="shared" si="5"/>
        <v>23.676306714285719</v>
      </c>
      <c r="D60" s="45">
        <f t="shared" si="6"/>
        <v>26.465685967741937</v>
      </c>
      <c r="E60" s="45">
        <f t="shared" si="7"/>
        <v>28.69805393333333</v>
      </c>
      <c r="F60" s="45">
        <f t="shared" si="8"/>
        <v>29.761277387096776</v>
      </c>
      <c r="G60" s="45">
        <f t="shared" si="9"/>
        <v>29.832528200000002</v>
      </c>
      <c r="H60" s="45">
        <f t="shared" si="10"/>
        <v>26.997855677419356</v>
      </c>
      <c r="I60" s="45">
        <f t="shared" si="10"/>
        <v>27.468912870967738</v>
      </c>
      <c r="J60" s="45">
        <f t="shared" si="11"/>
        <v>25.319653166666669</v>
      </c>
      <c r="K60" s="45">
        <f t="shared" si="12"/>
        <v>23.039205322580642</v>
      </c>
      <c r="L60" s="45">
        <f t="shared" si="13"/>
        <v>20.985279766666668</v>
      </c>
      <c r="M60" s="45">
        <f t="shared" si="14"/>
        <v>18.666813709677417</v>
      </c>
      <c r="N60" s="45"/>
    </row>
    <row r="61" spans="1:14" x14ac:dyDescent="0.3">
      <c r="A61" s="44">
        <v>0.5</v>
      </c>
      <c r="B61" s="45">
        <f t="shared" si="4"/>
        <v>19.411627064516129</v>
      </c>
      <c r="C61" s="45">
        <f t="shared" si="5"/>
        <v>23.156813035714286</v>
      </c>
      <c r="D61" s="45">
        <f t="shared" si="6"/>
        <v>27.006912096774194</v>
      </c>
      <c r="E61" s="45">
        <f t="shared" si="7"/>
        <v>29.276460933333336</v>
      </c>
      <c r="F61" s="45">
        <f t="shared" si="8"/>
        <v>29.394889451612904</v>
      </c>
      <c r="G61" s="45">
        <f t="shared" si="9"/>
        <v>29.770454599999994</v>
      </c>
      <c r="H61" s="45">
        <f t="shared" si="10"/>
        <v>27.694470290322574</v>
      </c>
      <c r="I61" s="45">
        <f t="shared" si="10"/>
        <v>27.62346070967741</v>
      </c>
      <c r="J61" s="45">
        <f t="shared" si="11"/>
        <v>24.679233800000006</v>
      </c>
      <c r="K61" s="45">
        <f t="shared" si="12"/>
        <v>22.860357741935488</v>
      </c>
      <c r="L61" s="45">
        <f t="shared" si="13"/>
        <v>20.154001633333333</v>
      </c>
      <c r="M61" s="45">
        <f t="shared" si="14"/>
        <v>17.658463483870968</v>
      </c>
      <c r="N61" s="45"/>
    </row>
    <row r="62" spans="1:14" x14ac:dyDescent="0.3">
      <c r="A62" s="44">
        <v>0.54166666666666663</v>
      </c>
      <c r="B62" s="45">
        <f t="shared" si="4"/>
        <v>19.965899</v>
      </c>
      <c r="C62" s="45">
        <f t="shared" si="5"/>
        <v>23.127604999999999</v>
      </c>
      <c r="D62" s="45">
        <f t="shared" si="6"/>
        <v>26.26158574193548</v>
      </c>
      <c r="E62" s="45">
        <f t="shared" si="7"/>
        <v>28.785582233333333</v>
      </c>
      <c r="F62" s="45">
        <f t="shared" si="8"/>
        <v>28.675853741935484</v>
      </c>
      <c r="G62" s="45">
        <f t="shared" si="9"/>
        <v>29.635518933333334</v>
      </c>
      <c r="H62" s="45">
        <f t="shared" si="10"/>
        <v>27.10066825806452</v>
      </c>
      <c r="I62" s="45">
        <f t="shared" si="10"/>
        <v>27.618738935483869</v>
      </c>
      <c r="J62" s="45">
        <f t="shared" si="11"/>
        <v>24.1100396</v>
      </c>
      <c r="K62" s="45">
        <f t="shared" si="12"/>
        <v>23.078800096774195</v>
      </c>
      <c r="L62" s="45">
        <f t="shared" si="13"/>
        <v>20.528761666666661</v>
      </c>
      <c r="M62" s="45">
        <f t="shared" si="14"/>
        <v>18.001928096774193</v>
      </c>
      <c r="N62" s="45"/>
    </row>
    <row r="63" spans="1:14" x14ac:dyDescent="0.3">
      <c r="A63" s="44">
        <v>0.58333333333333337</v>
      </c>
      <c r="B63" s="45">
        <f t="shared" si="4"/>
        <v>20.657363032258075</v>
      </c>
      <c r="C63" s="45">
        <f t="shared" si="5"/>
        <v>23.540330714285716</v>
      </c>
      <c r="D63" s="45">
        <f t="shared" si="6"/>
        <v>25.94846593548387</v>
      </c>
      <c r="E63" s="45">
        <f t="shared" si="7"/>
        <v>28.648847033333332</v>
      </c>
      <c r="F63" s="45">
        <f t="shared" si="8"/>
        <v>28.063492838709678</v>
      </c>
      <c r="G63" s="45">
        <f t="shared" si="9"/>
        <v>28.449160400000004</v>
      </c>
      <c r="H63" s="45">
        <f t="shared" si="10"/>
        <v>26.982217225806451</v>
      </c>
      <c r="I63" s="45">
        <f t="shared" si="10"/>
        <v>26.27960206451613</v>
      </c>
      <c r="J63" s="45">
        <f t="shared" si="11"/>
        <v>24.319600133333328</v>
      </c>
      <c r="K63" s="45">
        <f t="shared" si="12"/>
        <v>22.946495419354839</v>
      </c>
      <c r="L63" s="45">
        <f t="shared" si="13"/>
        <v>20.985031266666667</v>
      </c>
      <c r="M63" s="45">
        <f t="shared" si="14"/>
        <v>18.624456129032257</v>
      </c>
      <c r="N63" s="45"/>
    </row>
    <row r="64" spans="1:14" x14ac:dyDescent="0.3">
      <c r="A64" s="44">
        <v>0.625</v>
      </c>
      <c r="B64" s="45">
        <f t="shared" si="4"/>
        <v>21.029851483870967</v>
      </c>
      <c r="C64" s="45">
        <f t="shared" si="5"/>
        <v>24.599723178571427</v>
      </c>
      <c r="D64" s="45">
        <f t="shared" si="6"/>
        <v>25.536428225806453</v>
      </c>
      <c r="E64" s="45">
        <f t="shared" si="7"/>
        <v>27.636954666666668</v>
      </c>
      <c r="F64" s="45">
        <f t="shared" si="8"/>
        <v>28.544420774193547</v>
      </c>
      <c r="G64" s="45">
        <f t="shared" si="9"/>
        <v>27.970768633333343</v>
      </c>
      <c r="H64" s="45">
        <f t="shared" si="10"/>
        <v>26.949714935483868</v>
      </c>
      <c r="I64" s="45">
        <f t="shared" si="10"/>
        <v>23.602485516129029</v>
      </c>
      <c r="J64" s="45">
        <f t="shared" si="11"/>
        <v>22.832442866666671</v>
      </c>
      <c r="K64" s="45">
        <f t="shared" si="12"/>
        <v>22.346974580645163</v>
      </c>
      <c r="L64" s="45">
        <f t="shared" si="13"/>
        <v>20.720852033333323</v>
      </c>
      <c r="M64" s="45">
        <f t="shared" si="14"/>
        <v>18.484190741935485</v>
      </c>
      <c r="N64" s="45"/>
    </row>
    <row r="65" spans="1:14" x14ac:dyDescent="0.3">
      <c r="A65" s="44">
        <v>0.66666666666666663</v>
      </c>
      <c r="B65" s="45">
        <f t="shared" si="4"/>
        <v>16.493068161290317</v>
      </c>
      <c r="C65" s="45">
        <f t="shared" si="5"/>
        <v>22.121525714285713</v>
      </c>
      <c r="D65" s="45">
        <f t="shared" si="6"/>
        <v>22.952269935483873</v>
      </c>
      <c r="E65" s="45">
        <f t="shared" si="7"/>
        <v>25.361349833333335</v>
      </c>
      <c r="F65" s="45">
        <f t="shared" si="8"/>
        <v>26.67555958064516</v>
      </c>
      <c r="G65" s="45">
        <f t="shared" si="9"/>
        <v>26.587019833333333</v>
      </c>
      <c r="H65" s="45">
        <f t="shared" si="10"/>
        <v>25.773969935483873</v>
      </c>
      <c r="I65" s="45">
        <f t="shared" si="10"/>
        <v>20.428575903225809</v>
      </c>
      <c r="J65" s="45">
        <f t="shared" si="11"/>
        <v>20.695165866666663</v>
      </c>
      <c r="K65" s="45">
        <f t="shared" si="12"/>
        <v>19.083960741935478</v>
      </c>
      <c r="L65" s="45">
        <f t="shared" si="13"/>
        <v>12.165963733333337</v>
      </c>
      <c r="M65" s="45">
        <f t="shared" si="14"/>
        <v>10.335549290322581</v>
      </c>
      <c r="N65" s="45"/>
    </row>
    <row r="66" spans="1:14" x14ac:dyDescent="0.3">
      <c r="A66" s="44">
        <v>0.70833333333333337</v>
      </c>
      <c r="B66" s="45">
        <f t="shared" si="4"/>
        <v>2.3937217419354839</v>
      </c>
      <c r="C66" s="45">
        <f t="shared" si="5"/>
        <v>8.5996840357142847</v>
      </c>
      <c r="D66" s="45">
        <f t="shared" si="6"/>
        <v>16.314841967741938</v>
      </c>
      <c r="E66" s="45">
        <f t="shared" si="7"/>
        <v>21.342220499999996</v>
      </c>
      <c r="F66" s="45">
        <f t="shared" si="8"/>
        <v>23.86708493548387</v>
      </c>
      <c r="G66" s="45">
        <f t="shared" si="9"/>
        <v>24.036484066666667</v>
      </c>
      <c r="H66" s="45">
        <f t="shared" si="10"/>
        <v>21.936035677419348</v>
      </c>
      <c r="I66" s="45">
        <f t="shared" si="10"/>
        <v>16.720958096774194</v>
      </c>
      <c r="J66" s="45">
        <f t="shared" si="11"/>
        <v>12.443489400000001</v>
      </c>
      <c r="K66" s="45">
        <f t="shared" si="12"/>
        <v>3.9284632258064516</v>
      </c>
      <c r="L66" s="45">
        <f t="shared" si="13"/>
        <v>0.26567709999999994</v>
      </c>
      <c r="M66" s="45">
        <f t="shared" si="14"/>
        <v>9.9077741935483882E-2</v>
      </c>
      <c r="N66" s="45"/>
    </row>
    <row r="67" spans="1:14" x14ac:dyDescent="0.3">
      <c r="A67" s="44">
        <v>0.75</v>
      </c>
      <c r="B67" s="45">
        <f t="shared" si="4"/>
        <v>-4.81E-3</v>
      </c>
      <c r="C67" s="45">
        <f t="shared" si="5"/>
        <v>3.6010607142857143E-2</v>
      </c>
      <c r="D67" s="45">
        <f t="shared" si="6"/>
        <v>1.2866864838709677</v>
      </c>
      <c r="E67" s="45">
        <f t="shared" si="7"/>
        <v>4.8168780000000009</v>
      </c>
      <c r="F67" s="45">
        <f t="shared" si="8"/>
        <v>10.486849774193548</v>
      </c>
      <c r="G67" s="45">
        <f t="shared" si="9"/>
        <v>14.8291185</v>
      </c>
      <c r="H67" s="45">
        <f t="shared" si="10"/>
        <v>12.244684999999999</v>
      </c>
      <c r="I67" s="45">
        <f t="shared" si="10"/>
        <v>5.4389663548387084</v>
      </c>
      <c r="J67" s="45">
        <f t="shared" si="11"/>
        <v>0.9142030000000001</v>
      </c>
      <c r="K67" s="45">
        <f t="shared" si="12"/>
        <v>-4.81E-3</v>
      </c>
      <c r="L67" s="45">
        <f t="shared" si="13"/>
        <v>-4.8099999999999992E-3</v>
      </c>
      <c r="M67" s="45">
        <f t="shared" si="14"/>
        <v>-4.81E-3</v>
      </c>
      <c r="N67" s="45"/>
    </row>
    <row r="68" spans="1:14" x14ac:dyDescent="0.3">
      <c r="A68" s="44">
        <v>0.79166666666666663</v>
      </c>
      <c r="B68" s="45">
        <f t="shared" si="4"/>
        <v>-4.81E-3</v>
      </c>
      <c r="C68" s="45">
        <f t="shared" si="5"/>
        <v>-4.8099999999999992E-3</v>
      </c>
      <c r="D68" s="45">
        <f t="shared" si="6"/>
        <v>-4.81E-3</v>
      </c>
      <c r="E68" s="45">
        <f t="shared" si="7"/>
        <v>-4.8099999999999992E-3</v>
      </c>
      <c r="F68" s="45">
        <f t="shared" si="8"/>
        <v>0.1207212258064516</v>
      </c>
      <c r="G68" s="45">
        <f t="shared" si="9"/>
        <v>0.95934339999999996</v>
      </c>
      <c r="H68" s="45">
        <f t="shared" si="10"/>
        <v>0.69887070967741904</v>
      </c>
      <c r="I68" s="45">
        <f t="shared" si="10"/>
        <v>4.8952258064516082E-3</v>
      </c>
      <c r="J68" s="45">
        <f t="shared" si="11"/>
        <v>-4.8099999999999992E-3</v>
      </c>
      <c r="K68" s="45">
        <f t="shared" si="12"/>
        <v>-4.81E-3</v>
      </c>
      <c r="L68" s="45">
        <f t="shared" si="13"/>
        <v>-4.8099999999999992E-3</v>
      </c>
      <c r="M68" s="45">
        <f t="shared" si="14"/>
        <v>-4.81E-3</v>
      </c>
      <c r="N68" s="45"/>
    </row>
    <row r="69" spans="1:14" x14ac:dyDescent="0.3">
      <c r="A69" s="44">
        <v>0.83333333333333337</v>
      </c>
      <c r="B69" s="45">
        <f t="shared" si="4"/>
        <v>-4.81E-3</v>
      </c>
      <c r="C69" s="45">
        <f t="shared" si="5"/>
        <v>-4.8099999999999992E-3</v>
      </c>
      <c r="D69" s="45">
        <f t="shared" si="6"/>
        <v>-4.81E-3</v>
      </c>
      <c r="E69" s="45">
        <f t="shared" si="7"/>
        <v>-4.8099999999999992E-3</v>
      </c>
      <c r="F69" s="45">
        <f t="shared" si="8"/>
        <v>-4.81E-3</v>
      </c>
      <c r="G69" s="45">
        <f t="shared" si="9"/>
        <v>-4.8099999999999992E-3</v>
      </c>
      <c r="H69" s="45">
        <f t="shared" si="10"/>
        <v>-4.81E-3</v>
      </c>
      <c r="I69" s="45">
        <f t="shared" si="10"/>
        <v>-4.81E-3</v>
      </c>
      <c r="J69" s="45">
        <f t="shared" si="11"/>
        <v>-4.8099999999999992E-3</v>
      </c>
      <c r="K69" s="45">
        <f t="shared" si="12"/>
        <v>-4.81E-3</v>
      </c>
      <c r="L69" s="45">
        <f t="shared" si="13"/>
        <v>-4.8099999999999992E-3</v>
      </c>
      <c r="M69" s="45">
        <f t="shared" si="14"/>
        <v>-4.81E-3</v>
      </c>
      <c r="N69" s="45"/>
    </row>
    <row r="70" spans="1:14" x14ac:dyDescent="0.3">
      <c r="A70" s="44">
        <v>0.875</v>
      </c>
      <c r="B70" s="45">
        <f t="shared" si="4"/>
        <v>-4.81E-3</v>
      </c>
      <c r="C70" s="45">
        <f t="shared" si="5"/>
        <v>-4.8099999999999992E-3</v>
      </c>
      <c r="D70" s="45">
        <f t="shared" si="6"/>
        <v>-4.81E-3</v>
      </c>
      <c r="E70" s="45">
        <f t="shared" si="7"/>
        <v>-4.8099999999999992E-3</v>
      </c>
      <c r="F70" s="45">
        <f t="shared" si="8"/>
        <v>-4.81E-3</v>
      </c>
      <c r="G70" s="45">
        <f t="shared" si="9"/>
        <v>-4.8099999999999992E-3</v>
      </c>
      <c r="H70" s="45">
        <f t="shared" si="10"/>
        <v>-4.81E-3</v>
      </c>
      <c r="I70" s="45">
        <f t="shared" si="10"/>
        <v>-4.81E-3</v>
      </c>
      <c r="J70" s="45">
        <f t="shared" si="11"/>
        <v>-4.8099999999999992E-3</v>
      </c>
      <c r="K70" s="45">
        <f t="shared" si="12"/>
        <v>-4.81E-3</v>
      </c>
      <c r="L70" s="45">
        <f t="shared" si="13"/>
        <v>-4.8099999999999992E-3</v>
      </c>
      <c r="M70" s="45">
        <f t="shared" si="14"/>
        <v>-4.81E-3</v>
      </c>
      <c r="N70" s="45"/>
    </row>
    <row r="71" spans="1:14" x14ac:dyDescent="0.3">
      <c r="A71" s="44">
        <v>0.91666666666666663</v>
      </c>
      <c r="B71" s="45">
        <f t="shared" si="4"/>
        <v>-4.81E-3</v>
      </c>
      <c r="C71" s="45">
        <f t="shared" si="5"/>
        <v>-4.8099999999999992E-3</v>
      </c>
      <c r="D71" s="45">
        <f t="shared" si="6"/>
        <v>-4.81E-3</v>
      </c>
      <c r="E71" s="45">
        <f t="shared" si="7"/>
        <v>-4.8099999999999992E-3</v>
      </c>
      <c r="F71" s="45">
        <f t="shared" si="8"/>
        <v>-4.81E-3</v>
      </c>
      <c r="G71" s="45">
        <f t="shared" si="9"/>
        <v>-4.8099999999999992E-3</v>
      </c>
      <c r="H71" s="45">
        <f t="shared" si="10"/>
        <v>-4.81E-3</v>
      </c>
      <c r="I71" s="45">
        <f t="shared" si="10"/>
        <v>-4.81E-3</v>
      </c>
      <c r="J71" s="45">
        <f t="shared" si="11"/>
        <v>-4.8099999999999992E-3</v>
      </c>
      <c r="K71" s="45">
        <f t="shared" si="12"/>
        <v>-4.81E-3</v>
      </c>
      <c r="L71" s="45">
        <f t="shared" si="13"/>
        <v>-4.8099999999999992E-3</v>
      </c>
      <c r="M71" s="45">
        <f t="shared" si="14"/>
        <v>-4.81E-3</v>
      </c>
      <c r="N71" s="45"/>
    </row>
    <row r="72" spans="1:14" x14ac:dyDescent="0.3">
      <c r="A72" s="44">
        <v>0.95833333333333337</v>
      </c>
      <c r="B72" s="45">
        <f t="shared" si="4"/>
        <v>-4.81E-3</v>
      </c>
      <c r="C72" s="45">
        <f t="shared" si="5"/>
        <v>-4.8099999999999992E-3</v>
      </c>
      <c r="D72" s="45">
        <f t="shared" si="6"/>
        <v>-4.81E-3</v>
      </c>
      <c r="E72" s="45">
        <f t="shared" si="7"/>
        <v>-4.8099999999999992E-3</v>
      </c>
      <c r="F72" s="45">
        <f t="shared" si="8"/>
        <v>-4.81E-3</v>
      </c>
      <c r="G72" s="45">
        <f t="shared" si="9"/>
        <v>-4.8099999999999992E-3</v>
      </c>
      <c r="H72" s="45">
        <f t="shared" si="10"/>
        <v>-4.81E-3</v>
      </c>
      <c r="I72" s="45">
        <f t="shared" si="10"/>
        <v>-4.81E-3</v>
      </c>
      <c r="J72" s="45">
        <f t="shared" si="11"/>
        <v>-4.8099999999999992E-3</v>
      </c>
      <c r="K72" s="45">
        <f t="shared" si="12"/>
        <v>-4.81E-3</v>
      </c>
      <c r="L72" s="45">
        <f t="shared" si="13"/>
        <v>-4.8099999999999992E-3</v>
      </c>
      <c r="M72" s="45">
        <f t="shared" si="14"/>
        <v>-4.81E-3</v>
      </c>
      <c r="N72" s="45"/>
    </row>
    <row r="73" spans="1:14" x14ac:dyDescent="0.3">
      <c r="A73" s="46" t="s">
        <v>135</v>
      </c>
      <c r="B73" s="47">
        <f>SUM(B49:B72)</f>
        <v>170.54304212903233</v>
      </c>
      <c r="C73" s="47">
        <f t="shared" ref="C73:M73" si="15">SUM(C49:C72)</f>
        <v>212.56509082142861</v>
      </c>
      <c r="D73" s="47">
        <f t="shared" si="15"/>
        <v>250.05093245161294</v>
      </c>
      <c r="E73" s="47">
        <f t="shared" si="15"/>
        <v>297.48028019999992</v>
      </c>
      <c r="F73" s="47">
        <f t="shared" si="15"/>
        <v>329.60107199999993</v>
      </c>
      <c r="G73" s="47">
        <f t="shared" si="15"/>
        <v>333.50253419999996</v>
      </c>
      <c r="H73" s="47">
        <f t="shared" si="15"/>
        <v>291.32555025806442</v>
      </c>
      <c r="I73" s="47">
        <f t="shared" si="15"/>
        <v>269.2679449354838</v>
      </c>
      <c r="J73" s="47">
        <f t="shared" si="15"/>
        <v>238.97618153333335</v>
      </c>
      <c r="K73" s="47">
        <f t="shared" si="15"/>
        <v>214.91148864516131</v>
      </c>
      <c r="L73" s="47">
        <f t="shared" si="15"/>
        <v>178.68771806666675</v>
      </c>
      <c r="M73" s="47">
        <f t="shared" si="15"/>
        <v>151.78021109677422</v>
      </c>
      <c r="N73" s="47"/>
    </row>
    <row r="76" spans="1:14" x14ac:dyDescent="0.3">
      <c r="G76" s="54" t="s">
        <v>147</v>
      </c>
    </row>
    <row r="77" spans="1:14" x14ac:dyDescent="0.3">
      <c r="A77" s="42" t="s">
        <v>134</v>
      </c>
      <c r="B77" s="43">
        <v>1</v>
      </c>
      <c r="C77" s="43">
        <v>2</v>
      </c>
      <c r="D77" s="43">
        <v>3</v>
      </c>
      <c r="E77" s="43">
        <v>4</v>
      </c>
      <c r="F77" s="43">
        <v>5</v>
      </c>
      <c r="G77" s="43">
        <v>6</v>
      </c>
      <c r="H77" s="43">
        <v>7</v>
      </c>
      <c r="I77" s="43">
        <v>8</v>
      </c>
      <c r="J77" s="43">
        <v>9</v>
      </c>
      <c r="K77" s="43">
        <v>10</v>
      </c>
      <c r="L77" s="43">
        <v>11</v>
      </c>
      <c r="M77" s="43">
        <v>12</v>
      </c>
      <c r="N77" s="42"/>
    </row>
    <row r="78" spans="1:14" x14ac:dyDescent="0.3">
      <c r="A78" s="44">
        <v>0</v>
      </c>
      <c r="B78" s="45">
        <f t="shared" ref="B78:B83" si="16">B49/31</f>
        <v>-1.5516129032258063E-4</v>
      </c>
      <c r="C78" s="45">
        <f t="shared" ref="C78:C83" si="17">C49/28</f>
        <v>-1.7178571428571424E-4</v>
      </c>
      <c r="D78" s="45">
        <f t="shared" ref="D78:D83" si="18">D49/31</f>
        <v>-1.5516129032258063E-4</v>
      </c>
      <c r="E78" s="45">
        <f t="shared" ref="E78:E83" si="19">E49/30</f>
        <v>-1.6033333333333332E-4</v>
      </c>
      <c r="F78" s="45">
        <f t="shared" ref="F78:F83" si="20">F49/31</f>
        <v>-1.5516129032258063E-4</v>
      </c>
      <c r="G78" s="45">
        <f t="shared" ref="G78:G83" si="21">G49/30</f>
        <v>-1.6033333333333332E-4</v>
      </c>
      <c r="H78" s="45">
        <f t="shared" ref="H78:I83" si="22">H49/31</f>
        <v>-1.5516129032258063E-4</v>
      </c>
      <c r="I78" s="45">
        <f t="shared" si="22"/>
        <v>-1.5516129032258063E-4</v>
      </c>
      <c r="J78" s="45">
        <f t="shared" ref="J78:J83" si="23">J49/30</f>
        <v>-1.6033333333333332E-4</v>
      </c>
      <c r="K78" s="45">
        <f t="shared" ref="K78:K83" si="24">K49/31</f>
        <v>-1.5516129032258063E-4</v>
      </c>
      <c r="L78" s="45">
        <f t="shared" ref="L78:L83" si="25">L49/30</f>
        <v>-1.6033333333333332E-4</v>
      </c>
      <c r="M78" s="45">
        <f t="shared" ref="M78:M83" si="26">M49/31</f>
        <v>-1.5516129032258063E-4</v>
      </c>
      <c r="N78" s="45"/>
    </row>
    <row r="79" spans="1:14" x14ac:dyDescent="0.3">
      <c r="A79" s="44">
        <v>4.1666666666666664E-2</v>
      </c>
      <c r="B79" s="45">
        <f t="shared" si="16"/>
        <v>-1.5516129032258063E-4</v>
      </c>
      <c r="C79" s="45">
        <f t="shared" si="17"/>
        <v>-1.7178571428571424E-4</v>
      </c>
      <c r="D79" s="45">
        <f t="shared" si="18"/>
        <v>-1.5516129032258063E-4</v>
      </c>
      <c r="E79" s="45">
        <f t="shared" si="19"/>
        <v>-1.6033333333333332E-4</v>
      </c>
      <c r="F79" s="45">
        <f t="shared" si="20"/>
        <v>-1.5516129032258063E-4</v>
      </c>
      <c r="G79" s="45">
        <f t="shared" si="21"/>
        <v>-1.6033333333333332E-4</v>
      </c>
      <c r="H79" s="45">
        <f t="shared" si="22"/>
        <v>-1.5516129032258063E-4</v>
      </c>
      <c r="I79" s="45">
        <f t="shared" si="22"/>
        <v>-1.5516129032258063E-4</v>
      </c>
      <c r="J79" s="45">
        <f t="shared" si="23"/>
        <v>-1.6033333333333332E-4</v>
      </c>
      <c r="K79" s="45">
        <f t="shared" si="24"/>
        <v>-1.5516129032258063E-4</v>
      </c>
      <c r="L79" s="45">
        <f t="shared" si="25"/>
        <v>-1.6033333333333332E-4</v>
      </c>
      <c r="M79" s="45">
        <f t="shared" si="26"/>
        <v>-1.5516129032258063E-4</v>
      </c>
      <c r="N79" s="45"/>
    </row>
    <row r="80" spans="1:14" x14ac:dyDescent="0.3">
      <c r="A80" s="44">
        <v>8.3333333333333329E-2</v>
      </c>
      <c r="B80" s="45">
        <f t="shared" si="16"/>
        <v>-1.5516129032258063E-4</v>
      </c>
      <c r="C80" s="45">
        <f t="shared" si="17"/>
        <v>-1.7178571428571424E-4</v>
      </c>
      <c r="D80" s="45">
        <f t="shared" si="18"/>
        <v>-1.5516129032258063E-4</v>
      </c>
      <c r="E80" s="45">
        <f t="shared" si="19"/>
        <v>-1.6033333333333332E-4</v>
      </c>
      <c r="F80" s="45">
        <f t="shared" si="20"/>
        <v>-1.5516129032258063E-4</v>
      </c>
      <c r="G80" s="45">
        <f t="shared" si="21"/>
        <v>-1.6033333333333332E-4</v>
      </c>
      <c r="H80" s="45">
        <f t="shared" si="22"/>
        <v>-1.5516129032258063E-4</v>
      </c>
      <c r="I80" s="45">
        <f t="shared" si="22"/>
        <v>-1.5516129032258063E-4</v>
      </c>
      <c r="J80" s="45">
        <f t="shared" si="23"/>
        <v>-1.6033333333333332E-4</v>
      </c>
      <c r="K80" s="45">
        <f t="shared" si="24"/>
        <v>-1.5516129032258063E-4</v>
      </c>
      <c r="L80" s="45">
        <f t="shared" si="25"/>
        <v>-1.6033333333333332E-4</v>
      </c>
      <c r="M80" s="45">
        <f t="shared" si="26"/>
        <v>-1.5516129032258063E-4</v>
      </c>
      <c r="N80" s="45"/>
    </row>
    <row r="81" spans="1:14" x14ac:dyDescent="0.3">
      <c r="A81" s="44">
        <v>0.125</v>
      </c>
      <c r="B81" s="45">
        <f t="shared" si="16"/>
        <v>-1.5516129032258063E-4</v>
      </c>
      <c r="C81" s="45">
        <f t="shared" si="17"/>
        <v>-1.7178571428571424E-4</v>
      </c>
      <c r="D81" s="45">
        <f t="shared" si="18"/>
        <v>-1.5516129032258063E-4</v>
      </c>
      <c r="E81" s="45">
        <f t="shared" si="19"/>
        <v>-1.6033333333333332E-4</v>
      </c>
      <c r="F81" s="45">
        <f t="shared" si="20"/>
        <v>-1.5516129032258063E-4</v>
      </c>
      <c r="G81" s="45">
        <f t="shared" si="21"/>
        <v>-1.6033333333333332E-4</v>
      </c>
      <c r="H81" s="45">
        <f t="shared" si="22"/>
        <v>-1.5516129032258063E-4</v>
      </c>
      <c r="I81" s="45">
        <f t="shared" si="22"/>
        <v>-1.5516129032258063E-4</v>
      </c>
      <c r="J81" s="45">
        <f t="shared" si="23"/>
        <v>-1.6033333333333332E-4</v>
      </c>
      <c r="K81" s="45">
        <f t="shared" si="24"/>
        <v>-1.5516129032258063E-4</v>
      </c>
      <c r="L81" s="45">
        <f t="shared" si="25"/>
        <v>-1.6033333333333332E-4</v>
      </c>
      <c r="M81" s="45">
        <f t="shared" si="26"/>
        <v>-1.5516129032258063E-4</v>
      </c>
      <c r="N81" s="45"/>
    </row>
    <row r="82" spans="1:14" x14ac:dyDescent="0.3">
      <c r="A82" s="44">
        <v>0.16666666666666666</v>
      </c>
      <c r="B82" s="45">
        <f t="shared" si="16"/>
        <v>-1.5516129032258063E-4</v>
      </c>
      <c r="C82" s="45">
        <f t="shared" si="17"/>
        <v>-1.7178571428571424E-4</v>
      </c>
      <c r="D82" s="45">
        <f t="shared" si="18"/>
        <v>-1.5516129032258063E-4</v>
      </c>
      <c r="E82" s="45">
        <f t="shared" si="19"/>
        <v>-1.6033333333333332E-4</v>
      </c>
      <c r="F82" s="45">
        <f t="shared" si="20"/>
        <v>-1.5516129032258063E-4</v>
      </c>
      <c r="G82" s="45">
        <f t="shared" si="21"/>
        <v>-1.6033333333333332E-4</v>
      </c>
      <c r="H82" s="45">
        <f t="shared" si="22"/>
        <v>-1.5516129032258063E-4</v>
      </c>
      <c r="I82" s="45">
        <f t="shared" si="22"/>
        <v>-1.5516129032258063E-4</v>
      </c>
      <c r="J82" s="45">
        <f t="shared" si="23"/>
        <v>-1.6033333333333332E-4</v>
      </c>
      <c r="K82" s="45">
        <f t="shared" si="24"/>
        <v>-1.5516129032258063E-4</v>
      </c>
      <c r="L82" s="45">
        <f t="shared" si="25"/>
        <v>-1.6033333333333332E-4</v>
      </c>
      <c r="M82" s="45">
        <f t="shared" si="26"/>
        <v>-1.5516129032258063E-4</v>
      </c>
      <c r="N82" s="45"/>
    </row>
    <row r="83" spans="1:14" x14ac:dyDescent="0.3">
      <c r="A83" s="44">
        <v>0.20833333333333334</v>
      </c>
      <c r="B83" s="45">
        <f t="shared" si="16"/>
        <v>-1.5516129032258063E-4</v>
      </c>
      <c r="C83" s="45">
        <f t="shared" si="17"/>
        <v>-1.7178571428571424E-4</v>
      </c>
      <c r="D83" s="45">
        <f t="shared" si="18"/>
        <v>-1.5516129032258063E-4</v>
      </c>
      <c r="E83" s="45">
        <f t="shared" si="19"/>
        <v>-1.6033333333333332E-4</v>
      </c>
      <c r="F83" s="45">
        <f t="shared" si="20"/>
        <v>3.7185119667013528E-4</v>
      </c>
      <c r="G83" s="45">
        <f t="shared" si="21"/>
        <v>3.1922199999999995E-3</v>
      </c>
      <c r="H83" s="45">
        <f t="shared" si="22"/>
        <v>1.4734651404787101E-6</v>
      </c>
      <c r="I83" s="45">
        <f t="shared" si="22"/>
        <v>-1.5516129032258063E-4</v>
      </c>
      <c r="J83" s="45">
        <f t="shared" si="23"/>
        <v>-1.6033333333333332E-4</v>
      </c>
      <c r="K83" s="45">
        <f t="shared" si="24"/>
        <v>-1.5516129032258063E-4</v>
      </c>
      <c r="L83" s="45">
        <f t="shared" si="25"/>
        <v>-1.6033333333333332E-4</v>
      </c>
      <c r="M83" s="45">
        <f t="shared" si="26"/>
        <v>-1.5516129032258063E-4</v>
      </c>
      <c r="N83" s="45"/>
    </row>
    <row r="84" spans="1:14" x14ac:dyDescent="0.3">
      <c r="A84" s="44">
        <v>0.25</v>
      </c>
      <c r="B84" s="45">
        <f>B$35-B55</f>
        <v>26.004809999999999</v>
      </c>
      <c r="C84" s="45">
        <f t="shared" ref="C84:M84" si="27">C$35-C55</f>
        <v>30.004809999999999</v>
      </c>
      <c r="D84" s="45">
        <f t="shared" si="27"/>
        <v>31.976421032258063</v>
      </c>
      <c r="E84" s="45">
        <f t="shared" si="27"/>
        <v>29.506537399999999</v>
      </c>
      <c r="F84" s="45">
        <f t="shared" si="27"/>
        <v>22.751080354838709</v>
      </c>
      <c r="G84" s="45">
        <f t="shared" si="27"/>
        <v>21.690841266666666</v>
      </c>
      <c r="H84" s="45">
        <f t="shared" si="27"/>
        <v>25.124675838709678</v>
      </c>
      <c r="I84" s="45">
        <f t="shared" si="27"/>
        <v>27.306473225806453</v>
      </c>
      <c r="J84" s="45">
        <f t="shared" si="27"/>
        <v>29.229326233333332</v>
      </c>
      <c r="K84" s="45">
        <f t="shared" si="27"/>
        <v>28.985199709677421</v>
      </c>
      <c r="L84" s="45">
        <f t="shared" si="27"/>
        <v>27.004809999999999</v>
      </c>
      <c r="M84" s="45">
        <f t="shared" si="27"/>
        <v>25.004809999999999</v>
      </c>
      <c r="N84" s="45"/>
    </row>
    <row r="85" spans="1:14" x14ac:dyDescent="0.3">
      <c r="A85" s="44">
        <v>0.29166666666666669</v>
      </c>
      <c r="B85" s="45">
        <f t="shared" ref="B85:M99" si="28">B$35-B56</f>
        <v>25.991042677419355</v>
      </c>
      <c r="C85" s="45">
        <f t="shared" si="28"/>
        <v>29.120077321428571</v>
      </c>
      <c r="D85" s="45">
        <f t="shared" si="28"/>
        <v>24.62954506451613</v>
      </c>
      <c r="E85" s="45">
        <f t="shared" si="28"/>
        <v>13.229870233333326</v>
      </c>
      <c r="F85" s="45">
        <f t="shared" si="28"/>
        <v>6.1867565161290337</v>
      </c>
      <c r="G85" s="45">
        <f t="shared" si="28"/>
        <v>8.0686173333333393</v>
      </c>
      <c r="H85" s="45">
        <f t="shared" si="28"/>
        <v>13.218345516129034</v>
      </c>
      <c r="I85" s="45">
        <f t="shared" si="28"/>
        <v>13.339674096774189</v>
      </c>
      <c r="J85" s="45">
        <f t="shared" si="28"/>
        <v>16.486059866666665</v>
      </c>
      <c r="K85" s="45">
        <f t="shared" si="28"/>
        <v>20.532437999999999</v>
      </c>
      <c r="L85" s="45">
        <f t="shared" si="28"/>
        <v>24.403866999999998</v>
      </c>
      <c r="M85" s="45">
        <f t="shared" si="28"/>
        <v>24.890650741935485</v>
      </c>
      <c r="N85" s="45"/>
    </row>
    <row r="86" spans="1:14" x14ac:dyDescent="0.3">
      <c r="A86" s="44">
        <v>0.33333333333333331</v>
      </c>
      <c r="B86" s="45">
        <f t="shared" si="28"/>
        <v>16.614550290322576</v>
      </c>
      <c r="C86" s="45">
        <f t="shared" si="28"/>
        <v>14.342834142857141</v>
      </c>
      <c r="D86" s="45">
        <f t="shared" si="28"/>
        <v>9.9561874193548405</v>
      </c>
      <c r="E86" s="45">
        <f t="shared" si="28"/>
        <v>5.9184650666666663</v>
      </c>
      <c r="F86" s="45">
        <f t="shared" si="28"/>
        <v>2.6810698387096785</v>
      </c>
      <c r="G86" s="45">
        <f t="shared" si="28"/>
        <v>4.0628950666666697</v>
      </c>
      <c r="H86" s="45">
        <f t="shared" si="28"/>
        <v>8.2376542258064482</v>
      </c>
      <c r="I86" s="45">
        <f t="shared" si="28"/>
        <v>7.7208014193548387</v>
      </c>
      <c r="J86" s="45">
        <f t="shared" si="28"/>
        <v>8.3120924000000045</v>
      </c>
      <c r="K86" s="45">
        <f t="shared" si="28"/>
        <v>7.5194837419354812</v>
      </c>
      <c r="L86" s="45">
        <f t="shared" si="28"/>
        <v>9.6528517000000029</v>
      </c>
      <c r="M86" s="45">
        <f t="shared" si="28"/>
        <v>14.306386870967744</v>
      </c>
      <c r="N86" s="45"/>
    </row>
    <row r="87" spans="1:14" x14ac:dyDescent="0.3">
      <c r="A87" s="44">
        <v>0.375</v>
      </c>
      <c r="B87" s="45">
        <f t="shared" si="28"/>
        <v>5.0438258064516184</v>
      </c>
      <c r="C87" s="45">
        <f t="shared" si="28"/>
        <v>6.5198927142857102</v>
      </c>
      <c r="D87" s="45">
        <f t="shared" si="28"/>
        <v>8.0939502580645168</v>
      </c>
      <c r="E87" s="45">
        <f t="shared" si="28"/>
        <v>4.6691041333333381</v>
      </c>
      <c r="F87" s="45">
        <f t="shared" si="28"/>
        <v>2.1685533548387106</v>
      </c>
      <c r="G87" s="45">
        <f t="shared" si="28"/>
        <v>2.6494394333333346</v>
      </c>
      <c r="H87" s="45">
        <f t="shared" si="28"/>
        <v>5.2319339677419343</v>
      </c>
      <c r="I87" s="45">
        <f t="shared" si="28"/>
        <v>4.4246442903225791</v>
      </c>
      <c r="J87" s="45">
        <f t="shared" si="28"/>
        <v>6.6377816333333293</v>
      </c>
      <c r="K87" s="45">
        <f t="shared" si="28"/>
        <v>5.0834066451613005</v>
      </c>
      <c r="L87" s="45">
        <f t="shared" si="28"/>
        <v>5.927609466666663</v>
      </c>
      <c r="M87" s="45">
        <f t="shared" si="28"/>
        <v>5.6852153870967719</v>
      </c>
      <c r="N87" s="45"/>
    </row>
    <row r="88" spans="1:14" x14ac:dyDescent="0.3">
      <c r="A88" s="44">
        <v>0.41666666666666669</v>
      </c>
      <c r="B88" s="45">
        <f t="shared" si="28"/>
        <v>5.5231031935483834</v>
      </c>
      <c r="C88" s="45">
        <f t="shared" si="28"/>
        <v>6.2523839999999993</v>
      </c>
      <c r="D88" s="45">
        <f t="shared" si="28"/>
        <v>7.012930129032263</v>
      </c>
      <c r="E88" s="45">
        <f t="shared" si="28"/>
        <v>3.7091801000000011</v>
      </c>
      <c r="F88" s="45">
        <f t="shared" si="28"/>
        <v>2.169855032258063</v>
      </c>
      <c r="G88" s="45">
        <f t="shared" si="28"/>
        <v>2.1485458666666624</v>
      </c>
      <c r="H88" s="45">
        <f t="shared" si="28"/>
        <v>3.1970835806451632</v>
      </c>
      <c r="I88" s="45">
        <f t="shared" si="28"/>
        <v>3.0789577096774217</v>
      </c>
      <c r="J88" s="45">
        <f t="shared" si="28"/>
        <v>5.6194761666666651</v>
      </c>
      <c r="K88" s="45">
        <f t="shared" si="28"/>
        <v>5.1945203870967696</v>
      </c>
      <c r="L88" s="45">
        <f t="shared" si="28"/>
        <v>5.0709909666666704</v>
      </c>
      <c r="M88" s="45">
        <f t="shared" si="28"/>
        <v>5.1454850967741912</v>
      </c>
      <c r="N88" s="45"/>
    </row>
    <row r="89" spans="1:14" x14ac:dyDescent="0.3">
      <c r="A89" s="44">
        <v>0.45833333333333331</v>
      </c>
      <c r="B89" s="45">
        <f t="shared" si="28"/>
        <v>6.1734363870967748</v>
      </c>
      <c r="C89" s="45">
        <f t="shared" si="28"/>
        <v>6.3236932857142811</v>
      </c>
      <c r="D89" s="45">
        <f t="shared" si="28"/>
        <v>5.5343140322580631</v>
      </c>
      <c r="E89" s="45">
        <f t="shared" si="28"/>
        <v>3.3019460666666696</v>
      </c>
      <c r="F89" s="45">
        <f t="shared" si="28"/>
        <v>2.2387226129032243</v>
      </c>
      <c r="G89" s="45">
        <f t="shared" si="28"/>
        <v>2.1674717999999977</v>
      </c>
      <c r="H89" s="45">
        <f t="shared" si="28"/>
        <v>3.0021443225806443</v>
      </c>
      <c r="I89" s="45">
        <f t="shared" si="28"/>
        <v>2.5310871290322616</v>
      </c>
      <c r="J89" s="45">
        <f t="shared" si="28"/>
        <v>4.6803468333333313</v>
      </c>
      <c r="K89" s="45">
        <f t="shared" si="28"/>
        <v>5.9607946774193579</v>
      </c>
      <c r="L89" s="45">
        <f t="shared" si="28"/>
        <v>6.0147202333333318</v>
      </c>
      <c r="M89" s="45">
        <f t="shared" si="28"/>
        <v>6.3331862903225833</v>
      </c>
      <c r="N89" s="45"/>
    </row>
    <row r="90" spans="1:14" x14ac:dyDescent="0.3">
      <c r="A90" s="44">
        <v>0.5</v>
      </c>
      <c r="B90" s="45">
        <f t="shared" si="28"/>
        <v>6.5883729354838714</v>
      </c>
      <c r="C90" s="45">
        <f t="shared" si="28"/>
        <v>6.8431869642857137</v>
      </c>
      <c r="D90" s="45">
        <f t="shared" si="28"/>
        <v>4.9930879032258062</v>
      </c>
      <c r="E90" s="45">
        <f t="shared" si="28"/>
        <v>2.7235390666666639</v>
      </c>
      <c r="F90" s="45">
        <f t="shared" si="28"/>
        <v>2.6051105483870955</v>
      </c>
      <c r="G90" s="45">
        <f t="shared" si="28"/>
        <v>2.2295454000000063</v>
      </c>
      <c r="H90" s="45">
        <f t="shared" si="28"/>
        <v>2.3055297096774261</v>
      </c>
      <c r="I90" s="45">
        <f t="shared" si="28"/>
        <v>2.3765392903225901</v>
      </c>
      <c r="J90" s="45">
        <f t="shared" si="28"/>
        <v>5.3207661999999942</v>
      </c>
      <c r="K90" s="45">
        <f t="shared" si="28"/>
        <v>6.1396422580645122</v>
      </c>
      <c r="L90" s="45">
        <f t="shared" si="28"/>
        <v>6.8459983666666666</v>
      </c>
      <c r="M90" s="45">
        <f t="shared" si="28"/>
        <v>7.3415365161290325</v>
      </c>
      <c r="N90" s="45"/>
    </row>
    <row r="91" spans="1:14" x14ac:dyDescent="0.3">
      <c r="A91" s="44">
        <v>0.54166666666666663</v>
      </c>
      <c r="B91" s="45">
        <f t="shared" si="28"/>
        <v>6.0341009999999997</v>
      </c>
      <c r="C91" s="45">
        <f t="shared" si="28"/>
        <v>6.8723950000000009</v>
      </c>
      <c r="D91" s="45">
        <f t="shared" si="28"/>
        <v>5.7384142580645197</v>
      </c>
      <c r="E91" s="45">
        <f t="shared" si="28"/>
        <v>3.2144177666666671</v>
      </c>
      <c r="F91" s="45">
        <f t="shared" si="28"/>
        <v>3.3241462580645162</v>
      </c>
      <c r="G91" s="45">
        <f t="shared" si="28"/>
        <v>2.3644810666666665</v>
      </c>
      <c r="H91" s="45">
        <f t="shared" si="28"/>
        <v>2.8993317419354803</v>
      </c>
      <c r="I91" s="45">
        <f t="shared" si="28"/>
        <v>2.3812610645161314</v>
      </c>
      <c r="J91" s="45">
        <f t="shared" si="28"/>
        <v>5.8899603999999997</v>
      </c>
      <c r="K91" s="45">
        <f t="shared" si="28"/>
        <v>5.9211999032258049</v>
      </c>
      <c r="L91" s="45">
        <f t="shared" si="28"/>
        <v>6.4712383333333392</v>
      </c>
      <c r="M91" s="45">
        <f t="shared" si="28"/>
        <v>6.9980719032258065</v>
      </c>
      <c r="N91" s="45"/>
    </row>
    <row r="92" spans="1:14" x14ac:dyDescent="0.3">
      <c r="A92" s="44">
        <v>0.58333333333333337</v>
      </c>
      <c r="B92" s="45">
        <f t="shared" si="28"/>
        <v>5.3426369677419245</v>
      </c>
      <c r="C92" s="45">
        <f t="shared" si="28"/>
        <v>6.4596692857142841</v>
      </c>
      <c r="D92" s="45">
        <f t="shared" si="28"/>
        <v>6.0515340645161295</v>
      </c>
      <c r="E92" s="45">
        <f t="shared" si="28"/>
        <v>3.3511529666666675</v>
      </c>
      <c r="F92" s="45">
        <f t="shared" si="28"/>
        <v>3.9365071612903222</v>
      </c>
      <c r="G92" s="45">
        <f t="shared" si="28"/>
        <v>3.5508395999999962</v>
      </c>
      <c r="H92" s="45">
        <f t="shared" si="28"/>
        <v>3.0177827741935488</v>
      </c>
      <c r="I92" s="45">
        <f t="shared" si="28"/>
        <v>3.7203979354838701</v>
      </c>
      <c r="J92" s="45">
        <f t="shared" si="28"/>
        <v>5.6803998666666722</v>
      </c>
      <c r="K92" s="45">
        <f t="shared" si="28"/>
        <v>6.0535045806451606</v>
      </c>
      <c r="L92" s="45">
        <f t="shared" si="28"/>
        <v>6.0149687333333333</v>
      </c>
      <c r="M92" s="45">
        <f t="shared" si="28"/>
        <v>6.3755438709677428</v>
      </c>
      <c r="N92" s="45"/>
    </row>
    <row r="93" spans="1:14" x14ac:dyDescent="0.3">
      <c r="A93" s="44">
        <v>0.625</v>
      </c>
      <c r="B93" s="45">
        <f t="shared" si="28"/>
        <v>4.9701485161290329</v>
      </c>
      <c r="C93" s="45">
        <f t="shared" si="28"/>
        <v>5.400276821428573</v>
      </c>
      <c r="D93" s="45">
        <f t="shared" si="28"/>
        <v>6.4635717741935466</v>
      </c>
      <c r="E93" s="45">
        <f t="shared" si="28"/>
        <v>4.3630453333333321</v>
      </c>
      <c r="F93" s="45">
        <f t="shared" si="28"/>
        <v>3.4555792258064528</v>
      </c>
      <c r="G93" s="45">
        <f t="shared" si="28"/>
        <v>4.0292313666666573</v>
      </c>
      <c r="H93" s="45">
        <f t="shared" si="28"/>
        <v>3.0502850645161317</v>
      </c>
      <c r="I93" s="45">
        <f t="shared" si="28"/>
        <v>6.397514483870971</v>
      </c>
      <c r="J93" s="45">
        <f t="shared" si="28"/>
        <v>7.1675571333333288</v>
      </c>
      <c r="K93" s="45">
        <f t="shared" si="28"/>
        <v>6.6530254193548366</v>
      </c>
      <c r="L93" s="45">
        <f t="shared" si="28"/>
        <v>6.2791479666666774</v>
      </c>
      <c r="M93" s="45">
        <f t="shared" si="28"/>
        <v>6.5158092580645146</v>
      </c>
      <c r="N93" s="45"/>
    </row>
    <row r="94" spans="1:14" x14ac:dyDescent="0.3">
      <c r="A94" s="44">
        <v>0.66666666666666663</v>
      </c>
      <c r="B94" s="45">
        <f t="shared" si="28"/>
        <v>9.5069318387096828</v>
      </c>
      <c r="C94" s="45">
        <f t="shared" si="28"/>
        <v>7.8784742857142867</v>
      </c>
      <c r="D94" s="45">
        <f t="shared" si="28"/>
        <v>9.0477300645161272</v>
      </c>
      <c r="E94" s="45">
        <f t="shared" si="28"/>
        <v>6.6386501666666646</v>
      </c>
      <c r="F94" s="45">
        <f t="shared" si="28"/>
        <v>5.3244404193548398</v>
      </c>
      <c r="G94" s="45">
        <f t="shared" si="28"/>
        <v>5.4129801666666673</v>
      </c>
      <c r="H94" s="45">
        <f t="shared" si="28"/>
        <v>4.2260300645161273</v>
      </c>
      <c r="I94" s="45">
        <f t="shared" si="28"/>
        <v>9.5714240967741908</v>
      </c>
      <c r="J94" s="45">
        <f t="shared" si="28"/>
        <v>9.3048341333333369</v>
      </c>
      <c r="K94" s="45">
        <f t="shared" si="28"/>
        <v>9.9160392580645222</v>
      </c>
      <c r="L94" s="45">
        <f t="shared" si="28"/>
        <v>14.834036266666663</v>
      </c>
      <c r="M94" s="45">
        <f t="shared" si="28"/>
        <v>14.664450709677419</v>
      </c>
      <c r="N94" s="45"/>
    </row>
    <row r="95" spans="1:14" x14ac:dyDescent="0.3">
      <c r="A95" s="44">
        <v>0.70833333333333337</v>
      </c>
      <c r="B95" s="45">
        <f t="shared" si="28"/>
        <v>23.606278258064517</v>
      </c>
      <c r="C95" s="45">
        <f t="shared" si="28"/>
        <v>21.400315964285717</v>
      </c>
      <c r="D95" s="45">
        <f t="shared" si="28"/>
        <v>15.685158032258062</v>
      </c>
      <c r="E95" s="45">
        <f t="shared" si="28"/>
        <v>10.657779500000004</v>
      </c>
      <c r="F95" s="45">
        <f t="shared" si="28"/>
        <v>8.1329150645161299</v>
      </c>
      <c r="G95" s="45">
        <f t="shared" si="28"/>
        <v>7.9635159333333334</v>
      </c>
      <c r="H95" s="45">
        <f t="shared" si="28"/>
        <v>8.0639643225806523</v>
      </c>
      <c r="I95" s="45">
        <f t="shared" si="28"/>
        <v>13.279041903225806</v>
      </c>
      <c r="J95" s="45">
        <f t="shared" si="28"/>
        <v>17.556510599999999</v>
      </c>
      <c r="K95" s="45">
        <f t="shared" si="28"/>
        <v>25.071536774193547</v>
      </c>
      <c r="L95" s="45">
        <f t="shared" si="28"/>
        <v>26.734322899999999</v>
      </c>
      <c r="M95" s="45">
        <f t="shared" si="28"/>
        <v>24.900922258064515</v>
      </c>
      <c r="N95" s="45"/>
    </row>
    <row r="96" spans="1:14" x14ac:dyDescent="0.3">
      <c r="A96" s="44">
        <v>0.75</v>
      </c>
      <c r="B96" s="45">
        <f t="shared" si="28"/>
        <v>26.004809999999999</v>
      </c>
      <c r="C96" s="45">
        <f t="shared" si="28"/>
        <v>29.963989392857144</v>
      </c>
      <c r="D96" s="45">
        <f t="shared" si="28"/>
        <v>30.713313516129034</v>
      </c>
      <c r="E96" s="45">
        <f t="shared" si="28"/>
        <v>27.183121999999997</v>
      </c>
      <c r="F96" s="45">
        <f t="shared" si="28"/>
        <v>21.513150225806452</v>
      </c>
      <c r="G96" s="45">
        <f t="shared" si="28"/>
        <v>17.1708815</v>
      </c>
      <c r="H96" s="45">
        <f t="shared" si="28"/>
        <v>17.755315000000003</v>
      </c>
      <c r="I96" s="45">
        <f t="shared" si="28"/>
        <v>24.561033645161292</v>
      </c>
      <c r="J96" s="45">
        <f t="shared" si="28"/>
        <v>29.085796999999999</v>
      </c>
      <c r="K96" s="45">
        <f t="shared" si="28"/>
        <v>29.004809999999999</v>
      </c>
      <c r="L96" s="45">
        <f t="shared" si="28"/>
        <v>27.004809999999999</v>
      </c>
      <c r="M96" s="45">
        <f t="shared" si="28"/>
        <v>25.004809999999999</v>
      </c>
      <c r="N96" s="45"/>
    </row>
    <row r="97" spans="1:14" x14ac:dyDescent="0.3">
      <c r="A97" s="44">
        <v>0.79166666666666663</v>
      </c>
      <c r="B97" s="45">
        <f t="shared" si="28"/>
        <v>26.004809999999999</v>
      </c>
      <c r="C97" s="45">
        <f t="shared" si="28"/>
        <v>30.004809999999999</v>
      </c>
      <c r="D97" s="45">
        <f t="shared" si="28"/>
        <v>32.004809999999999</v>
      </c>
      <c r="E97" s="45">
        <f t="shared" si="28"/>
        <v>32.004809999999999</v>
      </c>
      <c r="F97" s="45">
        <f t="shared" si="28"/>
        <v>31.879278774193548</v>
      </c>
      <c r="G97" s="45">
        <f t="shared" si="28"/>
        <v>31.040656599999998</v>
      </c>
      <c r="H97" s="45">
        <f t="shared" si="28"/>
        <v>29.301129290322582</v>
      </c>
      <c r="I97" s="45">
        <f t="shared" si="28"/>
        <v>29.99510477419355</v>
      </c>
      <c r="J97" s="45">
        <f t="shared" si="28"/>
        <v>30.004809999999999</v>
      </c>
      <c r="K97" s="45">
        <f t="shared" si="28"/>
        <v>29.004809999999999</v>
      </c>
      <c r="L97" s="45">
        <f t="shared" si="28"/>
        <v>27.004809999999999</v>
      </c>
      <c r="M97" s="45">
        <f t="shared" si="28"/>
        <v>25.004809999999999</v>
      </c>
      <c r="N97" s="45"/>
    </row>
    <row r="98" spans="1:14" x14ac:dyDescent="0.3">
      <c r="A98" s="44">
        <v>0.83333333333333337</v>
      </c>
      <c r="B98" s="45">
        <f t="shared" si="28"/>
        <v>26.004809999999999</v>
      </c>
      <c r="C98" s="45">
        <f t="shared" si="28"/>
        <v>30.004809999999999</v>
      </c>
      <c r="D98" s="45">
        <f t="shared" si="28"/>
        <v>32.004809999999999</v>
      </c>
      <c r="E98" s="45">
        <f t="shared" si="28"/>
        <v>32.004809999999999</v>
      </c>
      <c r="F98" s="45">
        <f t="shared" si="28"/>
        <v>32.004809999999999</v>
      </c>
      <c r="G98" s="45">
        <f t="shared" si="28"/>
        <v>32.004809999999999</v>
      </c>
      <c r="H98" s="45">
        <f t="shared" si="28"/>
        <v>30.004809999999999</v>
      </c>
      <c r="I98" s="45">
        <f t="shared" si="28"/>
        <v>30.004809999999999</v>
      </c>
      <c r="J98" s="45">
        <f t="shared" si="28"/>
        <v>30.004809999999999</v>
      </c>
      <c r="K98" s="45">
        <f t="shared" si="28"/>
        <v>29.004809999999999</v>
      </c>
      <c r="L98" s="45">
        <f t="shared" si="28"/>
        <v>27.004809999999999</v>
      </c>
      <c r="M98" s="45">
        <f t="shared" si="28"/>
        <v>25.004809999999999</v>
      </c>
      <c r="N98" s="45"/>
    </row>
    <row r="99" spans="1:14" x14ac:dyDescent="0.3">
      <c r="A99" s="44">
        <v>0.875</v>
      </c>
      <c r="B99" s="45">
        <f t="shared" si="28"/>
        <v>26.004809999999999</v>
      </c>
      <c r="C99" s="45">
        <f t="shared" si="28"/>
        <v>30.004809999999999</v>
      </c>
      <c r="D99" s="45">
        <f t="shared" si="28"/>
        <v>32.004809999999999</v>
      </c>
      <c r="E99" s="45">
        <f t="shared" si="28"/>
        <v>32.004809999999999</v>
      </c>
      <c r="F99" s="45">
        <f t="shared" si="28"/>
        <v>32.004809999999999</v>
      </c>
      <c r="G99" s="45">
        <f t="shared" si="28"/>
        <v>32.004809999999999</v>
      </c>
      <c r="H99" s="45">
        <f t="shared" si="28"/>
        <v>30.004809999999999</v>
      </c>
      <c r="I99" s="45">
        <f t="shared" si="28"/>
        <v>30.004809999999999</v>
      </c>
      <c r="J99" s="45">
        <f t="shared" si="28"/>
        <v>30.004809999999999</v>
      </c>
      <c r="K99" s="45">
        <f t="shared" si="28"/>
        <v>29.004809999999999</v>
      </c>
      <c r="L99" s="45">
        <f t="shared" si="28"/>
        <v>27.004809999999999</v>
      </c>
      <c r="M99" s="45">
        <f t="shared" si="28"/>
        <v>25.004809999999999</v>
      </c>
      <c r="N99" s="45"/>
    </row>
    <row r="100" spans="1:14" x14ac:dyDescent="0.3">
      <c r="A100" s="44">
        <v>0.91666666666666663</v>
      </c>
      <c r="B100" s="45">
        <v>0</v>
      </c>
      <c r="C100" s="45">
        <v>0</v>
      </c>
      <c r="D100" s="45">
        <v>0</v>
      </c>
      <c r="E100" s="45">
        <v>0</v>
      </c>
      <c r="F100" s="45">
        <v>0</v>
      </c>
      <c r="G100" s="45">
        <v>0</v>
      </c>
      <c r="H100" s="45">
        <v>0</v>
      </c>
      <c r="I100" s="45">
        <v>0</v>
      </c>
      <c r="J100" s="45">
        <v>0</v>
      </c>
      <c r="K100" s="45">
        <v>0</v>
      </c>
      <c r="L100" s="45">
        <v>0</v>
      </c>
      <c r="M100" s="45">
        <v>0</v>
      </c>
      <c r="N100" s="45"/>
    </row>
    <row r="101" spans="1:14" x14ac:dyDescent="0.3">
      <c r="A101" s="44">
        <v>0.95833333333333337</v>
      </c>
      <c r="B101" s="45">
        <f>B72/31</f>
        <v>-1.5516129032258063E-4</v>
      </c>
      <c r="C101" s="45">
        <f>C72/28</f>
        <v>-1.7178571428571424E-4</v>
      </c>
      <c r="D101" s="45">
        <f>D72/31</f>
        <v>-1.5516129032258063E-4</v>
      </c>
      <c r="E101" s="45">
        <f>E72/30</f>
        <v>-1.6033333333333332E-4</v>
      </c>
      <c r="F101" s="45">
        <f>F72/31</f>
        <v>-1.5516129032258063E-4</v>
      </c>
      <c r="G101" s="45">
        <f>G72/30</f>
        <v>-1.6033333333333332E-4</v>
      </c>
      <c r="H101" s="45">
        <f t="shared" ref="H101:I101" si="29">H72/31</f>
        <v>-1.5516129032258063E-4</v>
      </c>
      <c r="I101" s="45">
        <f t="shared" si="29"/>
        <v>-1.5516129032258063E-4</v>
      </c>
      <c r="J101" s="45">
        <f>J72/30</f>
        <v>-1.6033333333333332E-4</v>
      </c>
      <c r="K101" s="45">
        <f>K72/31</f>
        <v>-1.5516129032258063E-4</v>
      </c>
      <c r="L101" s="45">
        <f>L72/30</f>
        <v>-1.6033333333333332E-4</v>
      </c>
      <c r="M101" s="45">
        <f>M72/31</f>
        <v>-1.5516129032258063E-4</v>
      </c>
      <c r="N101" s="45"/>
    </row>
    <row r="102" spans="1:14" x14ac:dyDescent="0.3">
      <c r="A102" s="46" t="s">
        <v>135</v>
      </c>
      <c r="B102" s="47">
        <f>SUM(B78:B101)</f>
        <v>245.41739174193543</v>
      </c>
      <c r="C102" s="47">
        <f t="shared" ref="C102:M102" si="30">SUM(C78:C101)</f>
        <v>267.39522667857142</v>
      </c>
      <c r="D102" s="47">
        <f t="shared" si="30"/>
        <v>261.90950141935485</v>
      </c>
      <c r="E102" s="47">
        <f t="shared" si="30"/>
        <v>214.48011746666666</v>
      </c>
      <c r="F102" s="47">
        <f t="shared" si="30"/>
        <v>182.37622627055151</v>
      </c>
      <c r="G102" s="47">
        <f t="shared" si="30"/>
        <v>178.56179262000001</v>
      </c>
      <c r="H102" s="47">
        <f t="shared" si="30"/>
        <v>188.63989592507806</v>
      </c>
      <c r="I102" s="47">
        <f t="shared" si="30"/>
        <v>210.69248893548388</v>
      </c>
      <c r="J102" s="47">
        <f t="shared" si="30"/>
        <v>240.98421613333332</v>
      </c>
      <c r="K102" s="47">
        <f t="shared" si="30"/>
        <v>249.04894522580645</v>
      </c>
      <c r="L102" s="47">
        <f t="shared" si="30"/>
        <v>253.27267959999998</v>
      </c>
      <c r="M102" s="47">
        <f t="shared" si="30"/>
        <v>248.18022277419354</v>
      </c>
      <c r="N102" s="47"/>
    </row>
    <row r="105" spans="1:14" x14ac:dyDescent="0.3">
      <c r="G105" s="54" t="s">
        <v>148</v>
      </c>
    </row>
    <row r="106" spans="1:14" x14ac:dyDescent="0.3">
      <c r="A106" s="42" t="s">
        <v>134</v>
      </c>
      <c r="B106" s="43">
        <v>1</v>
      </c>
      <c r="C106" s="43">
        <v>2</v>
      </c>
      <c r="D106" s="43">
        <v>3</v>
      </c>
      <c r="E106" s="43">
        <v>4</v>
      </c>
      <c r="F106" s="43">
        <v>5</v>
      </c>
      <c r="G106" s="43">
        <v>6</v>
      </c>
      <c r="H106" s="43">
        <v>7</v>
      </c>
      <c r="I106" s="43">
        <v>8</v>
      </c>
      <c r="J106" s="43">
        <v>9</v>
      </c>
      <c r="K106" s="43">
        <v>10</v>
      </c>
      <c r="L106" s="43">
        <v>11</v>
      </c>
      <c r="M106" s="43">
        <v>12</v>
      </c>
      <c r="N106" s="42" t="s">
        <v>149</v>
      </c>
    </row>
    <row r="107" spans="1:14" x14ac:dyDescent="0.3">
      <c r="A107" s="44">
        <v>0</v>
      </c>
      <c r="B107" s="45">
        <f>B78/31</f>
        <v>-5.0052029136316331E-6</v>
      </c>
      <c r="C107" s="45">
        <f>C78/28</f>
        <v>-6.1352040816326515E-6</v>
      </c>
      <c r="D107" s="45">
        <f t="shared" ref="D107:D130" si="31">D78/31</f>
        <v>-5.0052029136316331E-6</v>
      </c>
      <c r="E107" s="45">
        <f>E78/30</f>
        <v>-5.344444444444444E-6</v>
      </c>
      <c r="F107" s="45">
        <f t="shared" ref="F107:F130" si="32">F78/31</f>
        <v>-5.0052029136316331E-6</v>
      </c>
      <c r="G107" s="45">
        <f t="shared" ref="G107:G130" si="33">G78/30</f>
        <v>-5.344444444444444E-6</v>
      </c>
      <c r="H107" s="45">
        <f t="shared" ref="H107:I112" si="34">H78/31</f>
        <v>-5.0052029136316331E-6</v>
      </c>
      <c r="I107" s="45">
        <f t="shared" si="34"/>
        <v>-5.0052029136316331E-6</v>
      </c>
      <c r="J107" s="45">
        <f t="shared" ref="J107:J130" si="35">J78/30</f>
        <v>-5.344444444444444E-6</v>
      </c>
      <c r="K107" s="45">
        <f t="shared" ref="K107:K130" si="36">K78/31</f>
        <v>-5.0052029136316331E-6</v>
      </c>
      <c r="L107" s="45">
        <f t="shared" ref="L107:L130" si="37">L78/30</f>
        <v>-5.344444444444444E-6</v>
      </c>
      <c r="M107" s="45">
        <f t="shared" ref="M107:M130" si="38">M78/31</f>
        <v>-5.0052029136316331E-6</v>
      </c>
      <c r="N107" s="45"/>
    </row>
    <row r="108" spans="1:14" x14ac:dyDescent="0.3">
      <c r="A108" s="44">
        <v>4.1666666666666664E-2</v>
      </c>
      <c r="B108" s="45">
        <f t="shared" ref="B108:B130" si="39">B79/31</f>
        <v>-5.0052029136316331E-6</v>
      </c>
      <c r="C108" s="45">
        <f t="shared" ref="C108:C130" si="40">C79/28</f>
        <v>-6.1352040816326515E-6</v>
      </c>
      <c r="D108" s="45">
        <f t="shared" si="31"/>
        <v>-5.0052029136316331E-6</v>
      </c>
      <c r="E108" s="45">
        <f t="shared" ref="E108:E130" si="41">E79/30</f>
        <v>-5.344444444444444E-6</v>
      </c>
      <c r="F108" s="45">
        <f t="shared" si="32"/>
        <v>-5.0052029136316331E-6</v>
      </c>
      <c r="G108" s="45">
        <f t="shared" si="33"/>
        <v>-5.344444444444444E-6</v>
      </c>
      <c r="H108" s="45">
        <f t="shared" si="34"/>
        <v>-5.0052029136316331E-6</v>
      </c>
      <c r="I108" s="45">
        <f t="shared" si="34"/>
        <v>-5.0052029136316331E-6</v>
      </c>
      <c r="J108" s="45">
        <f t="shared" si="35"/>
        <v>-5.344444444444444E-6</v>
      </c>
      <c r="K108" s="45">
        <f t="shared" si="36"/>
        <v>-5.0052029136316331E-6</v>
      </c>
      <c r="L108" s="45">
        <f t="shared" si="37"/>
        <v>-5.344444444444444E-6</v>
      </c>
      <c r="M108" s="45">
        <f t="shared" si="38"/>
        <v>-5.0052029136316331E-6</v>
      </c>
      <c r="N108" s="45"/>
    </row>
    <row r="109" spans="1:14" x14ac:dyDescent="0.3">
      <c r="A109" s="44">
        <v>8.3333333333333329E-2</v>
      </c>
      <c r="B109" s="45">
        <f t="shared" si="39"/>
        <v>-5.0052029136316331E-6</v>
      </c>
      <c r="C109" s="45">
        <f t="shared" si="40"/>
        <v>-6.1352040816326515E-6</v>
      </c>
      <c r="D109" s="45">
        <f t="shared" si="31"/>
        <v>-5.0052029136316331E-6</v>
      </c>
      <c r="E109" s="45">
        <f t="shared" si="41"/>
        <v>-5.344444444444444E-6</v>
      </c>
      <c r="F109" s="45">
        <f t="shared" si="32"/>
        <v>-5.0052029136316331E-6</v>
      </c>
      <c r="G109" s="45">
        <f t="shared" si="33"/>
        <v>-5.344444444444444E-6</v>
      </c>
      <c r="H109" s="45">
        <f t="shared" si="34"/>
        <v>-5.0052029136316331E-6</v>
      </c>
      <c r="I109" s="45">
        <f t="shared" si="34"/>
        <v>-5.0052029136316331E-6</v>
      </c>
      <c r="J109" s="45">
        <f t="shared" si="35"/>
        <v>-5.344444444444444E-6</v>
      </c>
      <c r="K109" s="45">
        <f t="shared" si="36"/>
        <v>-5.0052029136316331E-6</v>
      </c>
      <c r="L109" s="45">
        <f t="shared" si="37"/>
        <v>-5.344444444444444E-6</v>
      </c>
      <c r="M109" s="45">
        <f t="shared" si="38"/>
        <v>-5.0052029136316331E-6</v>
      </c>
      <c r="N109" s="45"/>
    </row>
    <row r="110" spans="1:14" x14ac:dyDescent="0.3">
      <c r="A110" s="44">
        <v>0.125</v>
      </c>
      <c r="B110" s="45">
        <f t="shared" si="39"/>
        <v>-5.0052029136316331E-6</v>
      </c>
      <c r="C110" s="45">
        <f t="shared" si="40"/>
        <v>-6.1352040816326515E-6</v>
      </c>
      <c r="D110" s="45">
        <f t="shared" si="31"/>
        <v>-5.0052029136316331E-6</v>
      </c>
      <c r="E110" s="45">
        <f t="shared" si="41"/>
        <v>-5.344444444444444E-6</v>
      </c>
      <c r="F110" s="45">
        <f t="shared" si="32"/>
        <v>-5.0052029136316331E-6</v>
      </c>
      <c r="G110" s="45">
        <f t="shared" si="33"/>
        <v>-5.344444444444444E-6</v>
      </c>
      <c r="H110" s="45">
        <f t="shared" si="34"/>
        <v>-5.0052029136316331E-6</v>
      </c>
      <c r="I110" s="45">
        <f t="shared" si="34"/>
        <v>-5.0052029136316331E-6</v>
      </c>
      <c r="J110" s="45">
        <f t="shared" si="35"/>
        <v>-5.344444444444444E-6</v>
      </c>
      <c r="K110" s="45">
        <f t="shared" si="36"/>
        <v>-5.0052029136316331E-6</v>
      </c>
      <c r="L110" s="45">
        <f t="shared" si="37"/>
        <v>-5.344444444444444E-6</v>
      </c>
      <c r="M110" s="45">
        <f t="shared" si="38"/>
        <v>-5.0052029136316331E-6</v>
      </c>
      <c r="N110" s="45"/>
    </row>
    <row r="111" spans="1:14" x14ac:dyDescent="0.3">
      <c r="A111" s="44">
        <v>0.16666666666666666</v>
      </c>
      <c r="B111" s="45">
        <f t="shared" si="39"/>
        <v>-5.0052029136316331E-6</v>
      </c>
      <c r="C111" s="45">
        <f t="shared" si="40"/>
        <v>-6.1352040816326515E-6</v>
      </c>
      <c r="D111" s="45">
        <f t="shared" si="31"/>
        <v>-5.0052029136316331E-6</v>
      </c>
      <c r="E111" s="45">
        <f t="shared" si="41"/>
        <v>-5.344444444444444E-6</v>
      </c>
      <c r="F111" s="45">
        <f t="shared" si="32"/>
        <v>-5.0052029136316331E-6</v>
      </c>
      <c r="G111" s="45">
        <f t="shared" si="33"/>
        <v>-5.344444444444444E-6</v>
      </c>
      <c r="H111" s="45">
        <f t="shared" si="34"/>
        <v>-5.0052029136316331E-6</v>
      </c>
      <c r="I111" s="45">
        <f t="shared" si="34"/>
        <v>-5.0052029136316331E-6</v>
      </c>
      <c r="J111" s="45">
        <f t="shared" si="35"/>
        <v>-5.344444444444444E-6</v>
      </c>
      <c r="K111" s="45">
        <f t="shared" si="36"/>
        <v>-5.0052029136316331E-6</v>
      </c>
      <c r="L111" s="45">
        <f t="shared" si="37"/>
        <v>-5.344444444444444E-6</v>
      </c>
      <c r="M111" s="45">
        <f t="shared" si="38"/>
        <v>-5.0052029136316331E-6</v>
      </c>
      <c r="N111" s="45"/>
    </row>
    <row r="112" spans="1:14" x14ac:dyDescent="0.3">
      <c r="A112" s="44">
        <v>0.20833333333333334</v>
      </c>
      <c r="B112" s="45">
        <f t="shared" si="39"/>
        <v>-5.0052029136316331E-6</v>
      </c>
      <c r="C112" s="45">
        <f t="shared" si="40"/>
        <v>-6.1352040816326515E-6</v>
      </c>
      <c r="D112" s="45">
        <f t="shared" si="31"/>
        <v>-5.0052029136316331E-6</v>
      </c>
      <c r="E112" s="45">
        <f t="shared" si="41"/>
        <v>-5.344444444444444E-6</v>
      </c>
      <c r="F112" s="45">
        <f t="shared" si="32"/>
        <v>1.1995199892585009E-5</v>
      </c>
      <c r="G112" s="45">
        <f t="shared" si="33"/>
        <v>1.0640733333333332E-4</v>
      </c>
      <c r="H112" s="45">
        <f t="shared" si="34"/>
        <v>4.7531133563829357E-8</v>
      </c>
      <c r="I112" s="45">
        <f t="shared" si="34"/>
        <v>-5.0052029136316331E-6</v>
      </c>
      <c r="J112" s="45">
        <f t="shared" si="35"/>
        <v>-5.344444444444444E-6</v>
      </c>
      <c r="K112" s="45">
        <f t="shared" si="36"/>
        <v>-5.0052029136316331E-6</v>
      </c>
      <c r="L112" s="45">
        <f t="shared" si="37"/>
        <v>-5.344444444444444E-6</v>
      </c>
      <c r="M112" s="45">
        <f t="shared" si="38"/>
        <v>-5.0052029136316331E-6</v>
      </c>
      <c r="N112" s="45"/>
    </row>
    <row r="113" spans="1:16" x14ac:dyDescent="0.3">
      <c r="A113" s="44">
        <v>0.25</v>
      </c>
      <c r="B113" s="45">
        <f>B84-B$29</f>
        <v>14.004809999999999</v>
      </c>
      <c r="C113" s="45">
        <f t="shared" ref="C113:M113" si="42">C84-C$29</f>
        <v>18.004809999999999</v>
      </c>
      <c r="D113" s="45">
        <f t="shared" si="42"/>
        <v>31.976421032258063</v>
      </c>
      <c r="E113" s="45">
        <f t="shared" si="42"/>
        <v>29.506537399999999</v>
      </c>
      <c r="F113" s="45">
        <f t="shared" si="42"/>
        <v>22.751080354838709</v>
      </c>
      <c r="G113" s="45">
        <f t="shared" si="42"/>
        <v>6.6908412666666663</v>
      </c>
      <c r="H113" s="45">
        <f t="shared" si="42"/>
        <v>10.124675838709678</v>
      </c>
      <c r="I113" s="45">
        <f t="shared" si="42"/>
        <v>12.306473225806453</v>
      </c>
      <c r="J113" s="45">
        <f t="shared" si="42"/>
        <v>14.229326233333332</v>
      </c>
      <c r="K113" s="45">
        <f t="shared" si="42"/>
        <v>16.985199709677421</v>
      </c>
      <c r="L113" s="45">
        <f t="shared" si="42"/>
        <v>15.004809999999999</v>
      </c>
      <c r="M113" s="45">
        <f t="shared" si="42"/>
        <v>13.004809999999999</v>
      </c>
      <c r="N113" s="45">
        <f>AVERAGE(B113:M113)</f>
        <v>17.049149588440859</v>
      </c>
    </row>
    <row r="114" spans="1:16" x14ac:dyDescent="0.3">
      <c r="A114" s="44">
        <v>0.29166666666666669</v>
      </c>
      <c r="B114" s="45">
        <f t="shared" ref="B114:M128" si="43">B85-B$29</f>
        <v>13.991042677419355</v>
      </c>
      <c r="C114" s="45">
        <f t="shared" si="43"/>
        <v>17.120077321428571</v>
      </c>
      <c r="D114" s="45">
        <f t="shared" si="43"/>
        <v>24.62954506451613</v>
      </c>
      <c r="E114" s="45">
        <f t="shared" si="43"/>
        <v>13.229870233333326</v>
      </c>
      <c r="F114" s="45">
        <f t="shared" si="43"/>
        <v>6.1867565161290337</v>
      </c>
      <c r="G114" s="45">
        <f t="shared" si="43"/>
        <v>-6.9313826666666607</v>
      </c>
      <c r="H114" s="45">
        <f t="shared" si="43"/>
        <v>-1.781654483870966</v>
      </c>
      <c r="I114" s="45">
        <f t="shared" si="43"/>
        <v>-1.6603259032258109</v>
      </c>
      <c r="J114" s="45">
        <f t="shared" si="43"/>
        <v>1.4860598666666647</v>
      </c>
      <c r="K114" s="45">
        <f t="shared" si="43"/>
        <v>8.5324379999999991</v>
      </c>
      <c r="L114" s="45">
        <f t="shared" si="43"/>
        <v>12.403866999999998</v>
      </c>
      <c r="M114" s="45">
        <f t="shared" si="43"/>
        <v>12.890650741935485</v>
      </c>
      <c r="N114" s="45">
        <f t="shared" ref="N114:N128" si="44">AVERAGE(B114:M114)</f>
        <v>8.3414120306387609</v>
      </c>
    </row>
    <row r="115" spans="1:16" x14ac:dyDescent="0.3">
      <c r="A115" s="44">
        <v>0.33333333333333331</v>
      </c>
      <c r="B115" s="45">
        <f t="shared" si="43"/>
        <v>4.6145502903225761</v>
      </c>
      <c r="C115" s="45">
        <f t="shared" si="43"/>
        <v>2.3428341428571411</v>
      </c>
      <c r="D115" s="45">
        <f t="shared" si="43"/>
        <v>9.9561874193548405</v>
      </c>
      <c r="E115" s="45">
        <f t="shared" si="43"/>
        <v>5.9184650666666663</v>
      </c>
      <c r="F115" s="45">
        <f t="shared" si="43"/>
        <v>2.6810698387096785</v>
      </c>
      <c r="G115" s="45">
        <f t="shared" si="43"/>
        <v>-10.93710493333333</v>
      </c>
      <c r="H115" s="45">
        <f t="shared" si="43"/>
        <v>-6.7623457741935518</v>
      </c>
      <c r="I115" s="45">
        <f t="shared" si="43"/>
        <v>-7.2791985806451613</v>
      </c>
      <c r="J115" s="45">
        <f t="shared" si="43"/>
        <v>-6.6879075999999955</v>
      </c>
      <c r="K115" s="45">
        <f t="shared" si="43"/>
        <v>-4.4805162580645188</v>
      </c>
      <c r="L115" s="45">
        <f t="shared" si="43"/>
        <v>-2.3471482999999971</v>
      </c>
      <c r="M115" s="45">
        <f t="shared" si="43"/>
        <v>2.306386870967744</v>
      </c>
      <c r="N115" s="45">
        <f t="shared" si="44"/>
        <v>-0.88956065144649221</v>
      </c>
    </row>
    <row r="116" spans="1:16" x14ac:dyDescent="0.3">
      <c r="A116" s="44">
        <v>0.375</v>
      </c>
      <c r="B116" s="45">
        <f t="shared" si="43"/>
        <v>-6.9561741935483816</v>
      </c>
      <c r="C116" s="45">
        <f t="shared" si="43"/>
        <v>-5.4801072857142898</v>
      </c>
      <c r="D116" s="45">
        <f t="shared" si="43"/>
        <v>8.0939502580645168</v>
      </c>
      <c r="E116" s="45">
        <f t="shared" si="43"/>
        <v>4.6691041333333381</v>
      </c>
      <c r="F116" s="45">
        <f t="shared" si="43"/>
        <v>2.1685533548387106</v>
      </c>
      <c r="G116" s="45">
        <f t="shared" si="43"/>
        <v>-12.350560566666665</v>
      </c>
      <c r="H116" s="45">
        <f t="shared" si="43"/>
        <v>-9.7680660322580657</v>
      </c>
      <c r="I116" s="45">
        <f t="shared" si="43"/>
        <v>-10.575355709677421</v>
      </c>
      <c r="J116" s="45">
        <f t="shared" si="43"/>
        <v>-8.3622183666666707</v>
      </c>
      <c r="K116" s="45">
        <f t="shared" si="43"/>
        <v>-6.9165933548386995</v>
      </c>
      <c r="L116" s="45">
        <f t="shared" si="43"/>
        <v>-6.072390533333337</v>
      </c>
      <c r="M116" s="45">
        <f t="shared" si="43"/>
        <v>-6.3147846129032281</v>
      </c>
      <c r="N116" s="45">
        <f t="shared" si="44"/>
        <v>-4.8220535757808491</v>
      </c>
      <c r="O116" s="49"/>
    </row>
    <row r="117" spans="1:16" x14ac:dyDescent="0.3">
      <c r="A117" s="44">
        <v>0.41666666666666669</v>
      </c>
      <c r="B117" s="45">
        <f t="shared" si="43"/>
        <v>-6.4768968064516166</v>
      </c>
      <c r="C117" s="45">
        <f t="shared" si="43"/>
        <v>-5.7476160000000007</v>
      </c>
      <c r="D117" s="45">
        <f t="shared" si="43"/>
        <v>7.012930129032263</v>
      </c>
      <c r="E117" s="45">
        <f t="shared" si="43"/>
        <v>3.7091801000000011</v>
      </c>
      <c r="F117" s="45">
        <f t="shared" si="43"/>
        <v>2.169855032258063</v>
      </c>
      <c r="G117" s="45">
        <f t="shared" si="43"/>
        <v>-12.851454133333338</v>
      </c>
      <c r="H117" s="45">
        <f t="shared" si="43"/>
        <v>-11.802916419354837</v>
      </c>
      <c r="I117" s="45">
        <f t="shared" si="43"/>
        <v>-11.921042290322578</v>
      </c>
      <c r="J117" s="45">
        <f t="shared" si="43"/>
        <v>-9.3805238333333349</v>
      </c>
      <c r="K117" s="45">
        <f t="shared" si="43"/>
        <v>-6.8054796129032304</v>
      </c>
      <c r="L117" s="45">
        <f t="shared" si="43"/>
        <v>-6.9290090333333296</v>
      </c>
      <c r="M117" s="45">
        <f t="shared" si="43"/>
        <v>-6.8545149032258088</v>
      </c>
      <c r="N117" s="45">
        <f t="shared" si="44"/>
        <v>-5.4897906475806453</v>
      </c>
    </row>
    <row r="118" spans="1:16" x14ac:dyDescent="0.3">
      <c r="A118" s="44">
        <v>0.45833333333333331</v>
      </c>
      <c r="B118" s="45">
        <f t="shared" si="43"/>
        <v>-5.8265636129032252</v>
      </c>
      <c r="C118" s="45">
        <f t="shared" si="43"/>
        <v>-5.6763067142857189</v>
      </c>
      <c r="D118" s="45">
        <f t="shared" si="43"/>
        <v>5.5343140322580631</v>
      </c>
      <c r="E118" s="45">
        <f t="shared" si="43"/>
        <v>3.3019460666666696</v>
      </c>
      <c r="F118" s="45">
        <f t="shared" si="43"/>
        <v>2.2387226129032243</v>
      </c>
      <c r="G118" s="45">
        <f t="shared" si="43"/>
        <v>-12.832528200000002</v>
      </c>
      <c r="H118" s="45">
        <f t="shared" si="43"/>
        <v>-11.997855677419356</v>
      </c>
      <c r="I118" s="45">
        <f t="shared" si="43"/>
        <v>-12.468912870967738</v>
      </c>
      <c r="J118" s="45">
        <f t="shared" si="43"/>
        <v>-10.319653166666669</v>
      </c>
      <c r="K118" s="45">
        <f t="shared" si="43"/>
        <v>-6.0392053225806421</v>
      </c>
      <c r="L118" s="45">
        <f t="shared" si="43"/>
        <v>-5.9852797666666682</v>
      </c>
      <c r="M118" s="45">
        <f t="shared" si="43"/>
        <v>-5.6668137096774167</v>
      </c>
      <c r="N118" s="45">
        <f t="shared" si="44"/>
        <v>-5.4781780274449554</v>
      </c>
    </row>
    <row r="119" spans="1:16" x14ac:dyDescent="0.3">
      <c r="A119" s="44">
        <v>0.5</v>
      </c>
      <c r="B119" s="45">
        <f t="shared" si="43"/>
        <v>-5.4116270645161286</v>
      </c>
      <c r="C119" s="45">
        <f t="shared" si="43"/>
        <v>-5.1568130357142863</v>
      </c>
      <c r="D119" s="45">
        <f t="shared" si="43"/>
        <v>4.9930879032258062</v>
      </c>
      <c r="E119" s="45">
        <f t="shared" si="43"/>
        <v>2.7235390666666639</v>
      </c>
      <c r="F119" s="45">
        <f t="shared" si="43"/>
        <v>2.6051105483870955</v>
      </c>
      <c r="G119" s="45">
        <f t="shared" si="43"/>
        <v>-12.770454599999994</v>
      </c>
      <c r="H119" s="45">
        <f t="shared" si="43"/>
        <v>-12.694470290322574</v>
      </c>
      <c r="I119" s="45">
        <f t="shared" si="43"/>
        <v>-12.62346070967741</v>
      </c>
      <c r="J119" s="45">
        <f t="shared" si="43"/>
        <v>-9.6792338000000058</v>
      </c>
      <c r="K119" s="45">
        <f t="shared" si="43"/>
        <v>-5.8603577419354878</v>
      </c>
      <c r="L119" s="45">
        <f t="shared" si="43"/>
        <v>-5.1540016333333334</v>
      </c>
      <c r="M119" s="45">
        <f t="shared" si="43"/>
        <v>-4.6584634838709675</v>
      </c>
      <c r="N119" s="45">
        <f t="shared" si="44"/>
        <v>-5.3072620700908848</v>
      </c>
    </row>
    <row r="120" spans="1:16" x14ac:dyDescent="0.3">
      <c r="A120" s="44">
        <v>0.54166666666666663</v>
      </c>
      <c r="B120" s="45">
        <f t="shared" si="43"/>
        <v>-5.9658990000000003</v>
      </c>
      <c r="C120" s="45">
        <f t="shared" si="43"/>
        <v>-5.1276049999999991</v>
      </c>
      <c r="D120" s="45">
        <f t="shared" si="43"/>
        <v>5.7384142580645197</v>
      </c>
      <c r="E120" s="45">
        <f t="shared" si="43"/>
        <v>3.2144177666666671</v>
      </c>
      <c r="F120" s="45">
        <f t="shared" si="43"/>
        <v>3.3241462580645162</v>
      </c>
      <c r="G120" s="45">
        <f t="shared" si="43"/>
        <v>-12.635518933333334</v>
      </c>
      <c r="H120" s="45">
        <f t="shared" si="43"/>
        <v>-12.10066825806452</v>
      </c>
      <c r="I120" s="45">
        <f t="shared" si="43"/>
        <v>-12.618738935483869</v>
      </c>
      <c r="J120" s="45">
        <f t="shared" si="43"/>
        <v>-9.1100396000000003</v>
      </c>
      <c r="K120" s="45">
        <f t="shared" si="43"/>
        <v>-6.0788000967741951</v>
      </c>
      <c r="L120" s="45">
        <f t="shared" si="43"/>
        <v>-5.5287616666666608</v>
      </c>
      <c r="M120" s="45">
        <f t="shared" si="43"/>
        <v>-5.0019280967741935</v>
      </c>
      <c r="N120" s="45">
        <f t="shared" si="44"/>
        <v>-5.1575817753584223</v>
      </c>
    </row>
    <row r="121" spans="1:16" x14ac:dyDescent="0.3">
      <c r="A121" s="44">
        <v>0.58333333333333337</v>
      </c>
      <c r="B121" s="45">
        <f t="shared" si="43"/>
        <v>-6.6573630322580755</v>
      </c>
      <c r="C121" s="45">
        <f t="shared" si="43"/>
        <v>-5.5403307142857159</v>
      </c>
      <c r="D121" s="45">
        <f t="shared" si="43"/>
        <v>6.0515340645161295</v>
      </c>
      <c r="E121" s="45">
        <f t="shared" si="43"/>
        <v>3.3511529666666675</v>
      </c>
      <c r="F121" s="45">
        <f t="shared" si="43"/>
        <v>3.9365071612903222</v>
      </c>
      <c r="G121" s="45">
        <f t="shared" si="43"/>
        <v>-11.449160400000004</v>
      </c>
      <c r="H121" s="45">
        <f t="shared" si="43"/>
        <v>-11.982217225806451</v>
      </c>
      <c r="I121" s="45">
        <f t="shared" si="43"/>
        <v>-11.27960206451613</v>
      </c>
      <c r="J121" s="45">
        <f t="shared" si="43"/>
        <v>-9.3196001333333278</v>
      </c>
      <c r="K121" s="45">
        <f t="shared" si="43"/>
        <v>-5.9464954193548394</v>
      </c>
      <c r="L121" s="45">
        <f t="shared" si="43"/>
        <v>-5.9850312666666667</v>
      </c>
      <c r="M121" s="45">
        <f t="shared" si="43"/>
        <v>-5.6244561290322572</v>
      </c>
      <c r="N121" s="45">
        <f t="shared" si="44"/>
        <v>-5.0370885160650296</v>
      </c>
    </row>
    <row r="122" spans="1:16" x14ac:dyDescent="0.3">
      <c r="A122" s="44">
        <v>0.625</v>
      </c>
      <c r="B122" s="45">
        <f t="shared" si="43"/>
        <v>-7.0298514838709671</v>
      </c>
      <c r="C122" s="45">
        <f t="shared" si="43"/>
        <v>-6.599723178571427</v>
      </c>
      <c r="D122" s="45">
        <f t="shared" si="43"/>
        <v>6.4635717741935466</v>
      </c>
      <c r="E122" s="45">
        <f t="shared" si="43"/>
        <v>4.3630453333333321</v>
      </c>
      <c r="F122" s="45">
        <f t="shared" si="43"/>
        <v>3.4555792258064528</v>
      </c>
      <c r="G122" s="45">
        <f t="shared" si="43"/>
        <v>-10.970768633333343</v>
      </c>
      <c r="H122" s="45">
        <f t="shared" si="43"/>
        <v>-11.949714935483868</v>
      </c>
      <c r="I122" s="45">
        <f t="shared" si="43"/>
        <v>-8.602485516129029</v>
      </c>
      <c r="J122" s="45">
        <f t="shared" si="43"/>
        <v>-7.8324428666666712</v>
      </c>
      <c r="K122" s="45">
        <f t="shared" si="43"/>
        <v>-5.3469745806451634</v>
      </c>
      <c r="L122" s="45">
        <f t="shared" si="43"/>
        <v>-5.7208520333333226</v>
      </c>
      <c r="M122" s="45">
        <f t="shared" si="43"/>
        <v>-5.4841907419354854</v>
      </c>
      <c r="N122" s="45">
        <f t="shared" si="44"/>
        <v>-4.6045673030529954</v>
      </c>
      <c r="O122" s="51">
        <f>AVERAGE(N115:N122)</f>
        <v>-4.5982603208525346</v>
      </c>
      <c r="P122" t="s">
        <v>150</v>
      </c>
    </row>
    <row r="123" spans="1:16" x14ac:dyDescent="0.3">
      <c r="A123" s="44">
        <v>0.66666666666666663</v>
      </c>
      <c r="B123" s="45">
        <f t="shared" si="43"/>
        <v>-2.4930681612903172</v>
      </c>
      <c r="C123" s="45">
        <f t="shared" si="43"/>
        <v>-4.1215257142857133</v>
      </c>
      <c r="D123" s="45">
        <f t="shared" si="43"/>
        <v>9.0477300645161272</v>
      </c>
      <c r="E123" s="45">
        <f t="shared" si="43"/>
        <v>6.6386501666666646</v>
      </c>
      <c r="F123" s="45">
        <f t="shared" si="43"/>
        <v>5.3244404193548398</v>
      </c>
      <c r="G123" s="45">
        <f t="shared" si="43"/>
        <v>-9.5870198333333327</v>
      </c>
      <c r="H123" s="45">
        <f t="shared" si="43"/>
        <v>-10.773969935483873</v>
      </c>
      <c r="I123" s="45">
        <f t="shared" si="43"/>
        <v>-5.4285759032258092</v>
      </c>
      <c r="J123" s="45">
        <f t="shared" si="43"/>
        <v>-5.6951658666666631</v>
      </c>
      <c r="K123" s="45">
        <f t="shared" si="43"/>
        <v>-2.0839607419354778</v>
      </c>
      <c r="L123" s="45">
        <f t="shared" si="43"/>
        <v>2.8340362666666632</v>
      </c>
      <c r="M123" s="45">
        <f t="shared" si="43"/>
        <v>2.6644507096774195</v>
      </c>
      <c r="N123" s="45">
        <f t="shared" si="44"/>
        <v>-1.1394982107782892</v>
      </c>
    </row>
    <row r="124" spans="1:16" x14ac:dyDescent="0.3">
      <c r="A124" s="44">
        <v>0.70833333333333337</v>
      </c>
      <c r="B124" s="45">
        <f t="shared" si="43"/>
        <v>11.606278258064517</v>
      </c>
      <c r="C124" s="45">
        <f t="shared" si="43"/>
        <v>9.400315964285717</v>
      </c>
      <c r="D124" s="45">
        <f t="shared" si="43"/>
        <v>15.685158032258062</v>
      </c>
      <c r="E124" s="45">
        <f t="shared" si="43"/>
        <v>10.657779500000004</v>
      </c>
      <c r="F124" s="45">
        <f t="shared" si="43"/>
        <v>8.1329150645161299</v>
      </c>
      <c r="G124" s="45">
        <f t="shared" si="43"/>
        <v>-7.0364840666666666</v>
      </c>
      <c r="H124" s="45">
        <f t="shared" si="43"/>
        <v>-6.9360356774193477</v>
      </c>
      <c r="I124" s="45">
        <f t="shared" si="43"/>
        <v>-1.7209580967741935</v>
      </c>
      <c r="J124" s="45">
        <f t="shared" si="43"/>
        <v>2.5565105999999993</v>
      </c>
      <c r="K124" s="45">
        <f t="shared" si="43"/>
        <v>13.071536774193547</v>
      </c>
      <c r="L124" s="45">
        <f t="shared" si="43"/>
        <v>14.734322899999999</v>
      </c>
      <c r="M124" s="45">
        <f t="shared" si="43"/>
        <v>12.900922258064515</v>
      </c>
      <c r="N124" s="45">
        <f t="shared" si="44"/>
        <v>6.9210217925435229</v>
      </c>
    </row>
    <row r="125" spans="1:16" x14ac:dyDescent="0.3">
      <c r="A125" s="44">
        <v>0.75</v>
      </c>
      <c r="B125" s="45">
        <f t="shared" si="43"/>
        <v>14.004809999999999</v>
      </c>
      <c r="C125" s="45">
        <f t="shared" si="43"/>
        <v>17.963989392857144</v>
      </c>
      <c r="D125" s="45">
        <f t="shared" si="43"/>
        <v>30.713313516129034</v>
      </c>
      <c r="E125" s="45">
        <f t="shared" si="43"/>
        <v>27.183121999999997</v>
      </c>
      <c r="F125" s="45">
        <f t="shared" si="43"/>
        <v>21.513150225806452</v>
      </c>
      <c r="G125" s="45">
        <f t="shared" si="43"/>
        <v>2.1708815000000001</v>
      </c>
      <c r="H125" s="45">
        <f t="shared" si="43"/>
        <v>2.7553150000000031</v>
      </c>
      <c r="I125" s="45">
        <f t="shared" si="43"/>
        <v>9.5610336451612916</v>
      </c>
      <c r="J125" s="45">
        <f t="shared" si="43"/>
        <v>14.085796999999999</v>
      </c>
      <c r="K125" s="45">
        <f t="shared" si="43"/>
        <v>17.004809999999999</v>
      </c>
      <c r="L125" s="45">
        <f t="shared" si="43"/>
        <v>15.004809999999999</v>
      </c>
      <c r="M125" s="45">
        <f t="shared" si="43"/>
        <v>13.004809999999999</v>
      </c>
      <c r="N125" s="45">
        <f t="shared" si="44"/>
        <v>15.413820189996157</v>
      </c>
    </row>
    <row r="126" spans="1:16" x14ac:dyDescent="0.3">
      <c r="A126" s="44">
        <v>0.79166666666666663</v>
      </c>
      <c r="B126" s="45">
        <f t="shared" si="43"/>
        <v>14.004809999999999</v>
      </c>
      <c r="C126" s="45">
        <f t="shared" si="43"/>
        <v>18.004809999999999</v>
      </c>
      <c r="D126" s="45">
        <f t="shared" si="43"/>
        <v>32.004809999999999</v>
      </c>
      <c r="E126" s="45">
        <f t="shared" si="43"/>
        <v>32.004809999999999</v>
      </c>
      <c r="F126" s="45">
        <f t="shared" si="43"/>
        <v>31.879278774193548</v>
      </c>
      <c r="G126" s="45">
        <f t="shared" si="43"/>
        <v>16.040656599999998</v>
      </c>
      <c r="H126" s="45">
        <f t="shared" si="43"/>
        <v>14.301129290322582</v>
      </c>
      <c r="I126" s="45">
        <f t="shared" si="43"/>
        <v>14.99510477419355</v>
      </c>
      <c r="J126" s="45">
        <f t="shared" si="43"/>
        <v>15.004809999999999</v>
      </c>
      <c r="K126" s="45">
        <f t="shared" si="43"/>
        <v>17.004809999999999</v>
      </c>
      <c r="L126" s="45">
        <f t="shared" si="43"/>
        <v>15.004809999999999</v>
      </c>
      <c r="M126" s="45">
        <f t="shared" si="43"/>
        <v>13.004809999999999</v>
      </c>
      <c r="N126" s="45">
        <f t="shared" si="44"/>
        <v>19.437887453225805</v>
      </c>
    </row>
    <row r="127" spans="1:16" x14ac:dyDescent="0.3">
      <c r="A127" s="44">
        <v>0.83333333333333337</v>
      </c>
      <c r="B127" s="45">
        <f t="shared" si="43"/>
        <v>14.004809999999999</v>
      </c>
      <c r="C127" s="45">
        <f t="shared" si="43"/>
        <v>18.004809999999999</v>
      </c>
      <c r="D127" s="45">
        <f t="shared" si="43"/>
        <v>32.004809999999999</v>
      </c>
      <c r="E127" s="45">
        <f t="shared" si="43"/>
        <v>32.004809999999999</v>
      </c>
      <c r="F127" s="45">
        <f t="shared" si="43"/>
        <v>32.004809999999999</v>
      </c>
      <c r="G127" s="45">
        <f t="shared" si="43"/>
        <v>17.004809999999999</v>
      </c>
      <c r="H127" s="45">
        <f t="shared" si="43"/>
        <v>15.004809999999999</v>
      </c>
      <c r="I127" s="45">
        <f t="shared" si="43"/>
        <v>15.004809999999999</v>
      </c>
      <c r="J127" s="45">
        <f t="shared" si="43"/>
        <v>15.004809999999999</v>
      </c>
      <c r="K127" s="45">
        <f t="shared" si="43"/>
        <v>17.004809999999999</v>
      </c>
      <c r="L127" s="45">
        <f t="shared" si="43"/>
        <v>15.004809999999999</v>
      </c>
      <c r="M127" s="45">
        <f t="shared" si="43"/>
        <v>13.004809999999999</v>
      </c>
      <c r="N127" s="45">
        <f t="shared" si="44"/>
        <v>19.588143333333328</v>
      </c>
    </row>
    <row r="128" spans="1:16" x14ac:dyDescent="0.3">
      <c r="A128" s="44">
        <v>0.875</v>
      </c>
      <c r="B128" s="45">
        <f t="shared" si="43"/>
        <v>14.004809999999999</v>
      </c>
      <c r="C128" s="45">
        <f t="shared" si="43"/>
        <v>18.004809999999999</v>
      </c>
      <c r="D128" s="45">
        <f t="shared" si="43"/>
        <v>32.004809999999999</v>
      </c>
      <c r="E128" s="45">
        <f t="shared" si="43"/>
        <v>32.004809999999999</v>
      </c>
      <c r="F128" s="45">
        <f t="shared" si="43"/>
        <v>32.004809999999999</v>
      </c>
      <c r="G128" s="45">
        <f t="shared" si="43"/>
        <v>17.004809999999999</v>
      </c>
      <c r="H128" s="45">
        <f t="shared" si="43"/>
        <v>15.004809999999999</v>
      </c>
      <c r="I128" s="45">
        <f t="shared" si="43"/>
        <v>15.004809999999999</v>
      </c>
      <c r="J128" s="45">
        <f t="shared" si="43"/>
        <v>15.004809999999999</v>
      </c>
      <c r="K128" s="45">
        <f t="shared" si="43"/>
        <v>17.004809999999999</v>
      </c>
      <c r="L128" s="45">
        <f t="shared" si="43"/>
        <v>15.004809999999999</v>
      </c>
      <c r="M128" s="45">
        <f t="shared" si="43"/>
        <v>13.004809999999999</v>
      </c>
      <c r="N128" s="45">
        <f t="shared" si="44"/>
        <v>19.588143333333328</v>
      </c>
    </row>
    <row r="129" spans="1:15" x14ac:dyDescent="0.3">
      <c r="A129" s="44">
        <v>0.91666666666666663</v>
      </c>
      <c r="B129" s="45">
        <v>0</v>
      </c>
      <c r="C129" s="45">
        <v>0</v>
      </c>
      <c r="D129" s="45">
        <v>0</v>
      </c>
      <c r="E129" s="45">
        <v>0</v>
      </c>
      <c r="F129" s="45">
        <v>0</v>
      </c>
      <c r="G129" s="45">
        <v>0</v>
      </c>
      <c r="H129" s="45">
        <v>0</v>
      </c>
      <c r="I129" s="45">
        <v>0</v>
      </c>
      <c r="J129" s="45">
        <v>0</v>
      </c>
      <c r="K129" s="45">
        <v>0</v>
      </c>
      <c r="L129" s="45">
        <v>0</v>
      </c>
      <c r="M129" s="45">
        <v>0</v>
      </c>
      <c r="N129" s="45"/>
    </row>
    <row r="130" spans="1:15" x14ac:dyDescent="0.3">
      <c r="A130" s="44">
        <v>0.95833333333333337</v>
      </c>
      <c r="B130" s="45">
        <f t="shared" si="39"/>
        <v>-5.0052029136316331E-6</v>
      </c>
      <c r="C130" s="45">
        <f t="shared" si="40"/>
        <v>-6.1352040816326515E-6</v>
      </c>
      <c r="D130" s="45">
        <f t="shared" si="31"/>
        <v>-5.0052029136316331E-6</v>
      </c>
      <c r="E130" s="45">
        <f t="shared" si="41"/>
        <v>-5.344444444444444E-6</v>
      </c>
      <c r="F130" s="45">
        <f t="shared" si="32"/>
        <v>-5.0052029136316331E-6</v>
      </c>
      <c r="G130" s="45">
        <f t="shared" si="33"/>
        <v>-5.344444444444444E-6</v>
      </c>
      <c r="H130" s="45">
        <f t="shared" ref="H130:I130" si="45">H101/31</f>
        <v>-5.0052029136316331E-6</v>
      </c>
      <c r="I130" s="45">
        <f t="shared" si="45"/>
        <v>-5.0052029136316331E-6</v>
      </c>
      <c r="J130" s="45">
        <f t="shared" si="35"/>
        <v>-5.344444444444444E-6</v>
      </c>
      <c r="K130" s="45">
        <f t="shared" si="36"/>
        <v>-5.0052029136316331E-6</v>
      </c>
      <c r="L130" s="45">
        <f t="shared" si="37"/>
        <v>-5.344444444444444E-6</v>
      </c>
      <c r="M130" s="45">
        <f t="shared" si="38"/>
        <v>-5.0052029136316331E-6</v>
      </c>
      <c r="N130" s="45"/>
    </row>
    <row r="131" spans="1:15" x14ac:dyDescent="0.3">
      <c r="A131" s="46" t="s">
        <v>135</v>
      </c>
      <c r="B131" s="47"/>
      <c r="C131" s="47"/>
      <c r="D131" s="47"/>
      <c r="E131" s="47"/>
      <c r="F131" s="47"/>
      <c r="G131" s="47"/>
      <c r="H131" s="47"/>
      <c r="I131" s="47"/>
      <c r="J131" s="47"/>
      <c r="K131" s="47"/>
      <c r="L131" s="47"/>
      <c r="M131" s="47"/>
      <c r="N131" s="47"/>
    </row>
    <row r="133" spans="1:15" x14ac:dyDescent="0.3">
      <c r="B133" s="49"/>
      <c r="C133" s="49"/>
      <c r="D133" s="49"/>
      <c r="E133" s="49"/>
      <c r="F133" s="49"/>
      <c r="G133" s="49"/>
      <c r="H133" s="49"/>
      <c r="I133" s="49"/>
      <c r="J133" s="49"/>
      <c r="K133" s="49"/>
      <c r="L133" s="49"/>
      <c r="M133" s="49"/>
      <c r="O133" s="56"/>
    </row>
    <row r="134" spans="1:15" x14ac:dyDescent="0.3">
      <c r="D134" s="49"/>
      <c r="E134" s="49"/>
      <c r="F134" s="49"/>
      <c r="O134" s="51"/>
    </row>
    <row r="135" spans="1:15" x14ac:dyDescent="0.3">
      <c r="D135" s="49"/>
      <c r="E135" s="49"/>
      <c r="F135" s="49"/>
      <c r="O135" s="51"/>
    </row>
  </sheetData>
  <mergeCells count="5">
    <mergeCell ref="A2:N2"/>
    <mergeCell ref="B40:C40"/>
    <mergeCell ref="D40:F40"/>
    <mergeCell ref="H40:I40"/>
    <mergeCell ref="K40:M40"/>
  </mergeCells>
  <pageMargins left="0.7" right="0.7" top="0.75" bottom="0.75" header="0.3" footer="0.3"/>
  <pageSetup scale="2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U44"/>
  <sheetViews>
    <sheetView topLeftCell="A19" workbookViewId="0">
      <selection activeCell="D39" sqref="D39"/>
    </sheetView>
  </sheetViews>
  <sheetFormatPr defaultRowHeight="14.4" x14ac:dyDescent="0.3"/>
  <cols>
    <col min="1" max="1" width="15.109375" customWidth="1"/>
    <col min="3" max="3" width="10" customWidth="1"/>
    <col min="4" max="4" width="10.6640625" bestFit="1" customWidth="1"/>
    <col min="8" max="8" width="10.33203125" customWidth="1"/>
    <col min="16" max="16" width="12" customWidth="1"/>
    <col min="17" max="17" width="9.88671875" bestFit="1" customWidth="1"/>
    <col min="19" max="19" width="10" customWidth="1"/>
    <col min="21" max="21" width="10.33203125" customWidth="1"/>
  </cols>
  <sheetData>
    <row r="2" spans="2:21" x14ac:dyDescent="0.3">
      <c r="C2">
        <v>2022</v>
      </c>
      <c r="D2" s="214">
        <v>44534</v>
      </c>
      <c r="L2" s="23"/>
      <c r="M2" s="21"/>
    </row>
    <row r="3" spans="2:21" x14ac:dyDescent="0.3">
      <c r="C3" t="s">
        <v>76</v>
      </c>
    </row>
    <row r="4" spans="2:21" x14ac:dyDescent="0.3">
      <c r="B4" t="s">
        <v>77</v>
      </c>
      <c r="C4" t="s">
        <v>78</v>
      </c>
      <c r="D4" t="s">
        <v>79</v>
      </c>
      <c r="E4" t="s">
        <v>80</v>
      </c>
      <c r="F4" t="s">
        <v>81</v>
      </c>
      <c r="G4" t="s">
        <v>82</v>
      </c>
      <c r="H4" t="s">
        <v>82</v>
      </c>
      <c r="I4" t="s">
        <v>83</v>
      </c>
      <c r="J4" t="s">
        <v>84</v>
      </c>
      <c r="K4" t="s">
        <v>85</v>
      </c>
      <c r="L4" t="s">
        <v>86</v>
      </c>
      <c r="M4" t="s">
        <v>87</v>
      </c>
      <c r="N4" t="s">
        <v>88</v>
      </c>
      <c r="O4" t="s">
        <v>89</v>
      </c>
      <c r="P4" t="s">
        <v>90</v>
      </c>
      <c r="Q4" t="s">
        <v>91</v>
      </c>
      <c r="R4" t="s">
        <v>92</v>
      </c>
      <c r="S4" t="s">
        <v>93</v>
      </c>
    </row>
    <row r="5" spans="2:21" x14ac:dyDescent="0.3">
      <c r="G5" t="s">
        <v>94</v>
      </c>
      <c r="H5" t="s">
        <v>95</v>
      </c>
      <c r="S5" t="s">
        <v>96</v>
      </c>
      <c r="T5" t="s">
        <v>97</v>
      </c>
      <c r="U5" t="s">
        <v>98</v>
      </c>
    </row>
    <row r="6" spans="2:21" x14ac:dyDescent="0.3">
      <c r="B6" t="s">
        <v>99</v>
      </c>
      <c r="C6">
        <v>957</v>
      </c>
      <c r="D6">
        <v>122</v>
      </c>
      <c r="E6">
        <v>128</v>
      </c>
      <c r="F6">
        <v>219</v>
      </c>
      <c r="I6">
        <v>97</v>
      </c>
      <c r="J6">
        <v>160</v>
      </c>
      <c r="K6">
        <v>250</v>
      </c>
      <c r="L6">
        <v>260</v>
      </c>
      <c r="M6">
        <v>100</v>
      </c>
      <c r="N6">
        <v>118</v>
      </c>
      <c r="O6">
        <v>250</v>
      </c>
      <c r="P6">
        <v>190</v>
      </c>
      <c r="Q6">
        <v>340</v>
      </c>
      <c r="R6">
        <v>450</v>
      </c>
      <c r="S6" t="s">
        <v>100</v>
      </c>
      <c r="T6" t="s">
        <v>101</v>
      </c>
      <c r="U6" t="s">
        <v>102</v>
      </c>
    </row>
    <row r="7" spans="2:21" x14ac:dyDescent="0.3">
      <c r="C7" t="s">
        <v>103</v>
      </c>
      <c r="D7" t="s">
        <v>103</v>
      </c>
      <c r="E7" t="s">
        <v>103</v>
      </c>
      <c r="F7" t="s">
        <v>103</v>
      </c>
      <c r="G7" t="s">
        <v>103</v>
      </c>
      <c r="H7" t="s">
        <v>103</v>
      </c>
      <c r="I7" t="s">
        <v>103</v>
      </c>
      <c r="J7" t="s">
        <v>103</v>
      </c>
      <c r="K7" t="s">
        <v>103</v>
      </c>
      <c r="L7" t="s">
        <v>103</v>
      </c>
      <c r="M7" t="s">
        <v>103</v>
      </c>
      <c r="N7" t="s">
        <v>103</v>
      </c>
      <c r="O7" t="s">
        <v>103</v>
      </c>
      <c r="P7" t="s">
        <v>103</v>
      </c>
      <c r="Q7" t="s">
        <v>103</v>
      </c>
      <c r="R7" t="s">
        <v>103</v>
      </c>
      <c r="S7" t="s">
        <v>104</v>
      </c>
    </row>
    <row r="8" spans="2:21" x14ac:dyDescent="0.3">
      <c r="B8" t="s">
        <v>105</v>
      </c>
      <c r="C8" s="27">
        <v>86116</v>
      </c>
      <c r="D8" s="27">
        <v>10966</v>
      </c>
      <c r="E8" s="27">
        <v>11493</v>
      </c>
      <c r="F8" s="27">
        <v>19495</v>
      </c>
      <c r="G8" s="27">
        <v>8016.9426089215904</v>
      </c>
      <c r="H8" s="28">
        <v>0</v>
      </c>
      <c r="I8" s="27">
        <v>2840</v>
      </c>
      <c r="J8" s="27">
        <v>2044</v>
      </c>
      <c r="K8" s="27">
        <v>3150</v>
      </c>
      <c r="L8" s="27">
        <v>3247</v>
      </c>
      <c r="M8" s="27">
        <v>1096</v>
      </c>
      <c r="N8" s="27">
        <v>1290</v>
      </c>
      <c r="O8" s="27">
        <v>2606</v>
      </c>
      <c r="P8" s="29">
        <v>976</v>
      </c>
      <c r="Q8" s="27">
        <v>1294</v>
      </c>
      <c r="R8" s="30">
        <v>2310</v>
      </c>
      <c r="S8" s="31">
        <f t="shared" ref="S8:S19" si="0">SUM(C8:R8)</f>
        <v>156939.94260892158</v>
      </c>
      <c r="T8" s="31">
        <f t="shared" ref="T8:T19" si="1">SUM(G8:R8)</f>
        <v>28869.942608921592</v>
      </c>
      <c r="U8" s="32">
        <f>T8/31/24</f>
        <v>38.80368630231397</v>
      </c>
    </row>
    <row r="9" spans="2:21" x14ac:dyDescent="0.3">
      <c r="B9" t="s">
        <v>106</v>
      </c>
      <c r="C9" s="27">
        <v>86499</v>
      </c>
      <c r="D9" s="27">
        <v>11009</v>
      </c>
      <c r="E9" s="27">
        <v>11532</v>
      </c>
      <c r="F9" s="27">
        <v>19498</v>
      </c>
      <c r="G9" s="27">
        <v>4076.8476594392673</v>
      </c>
      <c r="H9" s="28">
        <v>0</v>
      </c>
      <c r="I9" s="27">
        <v>4734</v>
      </c>
      <c r="J9" s="27">
        <v>3696</v>
      </c>
      <c r="K9" s="27">
        <v>5730</v>
      </c>
      <c r="L9" s="27">
        <v>5925</v>
      </c>
      <c r="M9" s="27">
        <v>1843</v>
      </c>
      <c r="N9" s="27">
        <v>2172</v>
      </c>
      <c r="O9" s="27">
        <v>4207</v>
      </c>
      <c r="P9" s="29">
        <v>935</v>
      </c>
      <c r="Q9" s="27">
        <v>1294</v>
      </c>
      <c r="R9" s="30">
        <v>2212</v>
      </c>
      <c r="S9" s="31">
        <f t="shared" si="0"/>
        <v>165362.84765943926</v>
      </c>
      <c r="T9" s="31">
        <f t="shared" si="1"/>
        <v>36824.847659439271</v>
      </c>
      <c r="U9" s="32">
        <f>T9/29/24</f>
        <v>52.909263878504703</v>
      </c>
    </row>
    <row r="10" spans="2:21" x14ac:dyDescent="0.3">
      <c r="B10" t="s">
        <v>107</v>
      </c>
      <c r="C10" s="27">
        <v>139616</v>
      </c>
      <c r="D10" s="27">
        <v>17765</v>
      </c>
      <c r="E10" s="27">
        <v>18605</v>
      </c>
      <c r="F10" s="27">
        <v>31160</v>
      </c>
      <c r="G10" s="27">
        <v>11432.978695505632</v>
      </c>
      <c r="H10" s="28">
        <v>0</v>
      </c>
      <c r="I10" s="27">
        <v>6205</v>
      </c>
      <c r="J10" s="27">
        <v>5116</v>
      </c>
      <c r="K10" s="27">
        <v>6972</v>
      </c>
      <c r="L10" s="27">
        <v>7092</v>
      </c>
      <c r="M10" s="27">
        <v>2210</v>
      </c>
      <c r="N10" s="27">
        <v>2604</v>
      </c>
      <c r="O10" s="27">
        <v>5246</v>
      </c>
      <c r="P10" s="29">
        <v>1045</v>
      </c>
      <c r="Q10" s="27">
        <v>1617</v>
      </c>
      <c r="R10" s="30">
        <v>2472</v>
      </c>
      <c r="S10" s="31">
        <f t="shared" si="0"/>
        <v>259157.97869550562</v>
      </c>
      <c r="T10" s="31">
        <f t="shared" si="1"/>
        <v>52011.978695505633</v>
      </c>
      <c r="U10" s="32">
        <f>T10/31/24</f>
        <v>69.908573515464568</v>
      </c>
    </row>
    <row r="11" spans="2:21" x14ac:dyDescent="0.3">
      <c r="B11" t="s">
        <v>108</v>
      </c>
      <c r="C11" s="27">
        <v>139182</v>
      </c>
      <c r="D11" s="27">
        <v>17698</v>
      </c>
      <c r="E11" s="27">
        <v>18524</v>
      </c>
      <c r="F11" s="27">
        <v>30767</v>
      </c>
      <c r="G11" s="29">
        <v>6464.8658103848602</v>
      </c>
      <c r="H11" s="28">
        <v>0</v>
      </c>
      <c r="I11" s="27">
        <v>7346</v>
      </c>
      <c r="J11" s="27">
        <v>5528</v>
      </c>
      <c r="K11" s="27">
        <v>7170</v>
      </c>
      <c r="L11" s="27">
        <v>6992</v>
      </c>
      <c r="M11" s="27">
        <v>2228</v>
      </c>
      <c r="N11" s="27">
        <v>2624</v>
      </c>
      <c r="O11" s="27">
        <v>4931</v>
      </c>
      <c r="P11" s="29">
        <v>870</v>
      </c>
      <c r="Q11" s="27">
        <v>1941</v>
      </c>
      <c r="R11" s="30">
        <v>2058</v>
      </c>
      <c r="S11" s="31">
        <f t="shared" si="0"/>
        <v>254323.86581038486</v>
      </c>
      <c r="T11" s="31">
        <f t="shared" si="1"/>
        <v>48152.865810384857</v>
      </c>
      <c r="U11" s="32">
        <f>T11/30/24</f>
        <v>66.878980292201192</v>
      </c>
    </row>
    <row r="12" spans="2:21" x14ac:dyDescent="0.3">
      <c r="B12" t="s">
        <v>109</v>
      </c>
      <c r="C12" s="27">
        <v>149664</v>
      </c>
      <c r="D12" s="27">
        <v>19028</v>
      </c>
      <c r="E12" s="27">
        <v>19912</v>
      </c>
      <c r="F12" s="27">
        <v>33085</v>
      </c>
      <c r="G12" s="29">
        <v>5226.6612448371698</v>
      </c>
      <c r="H12" s="28">
        <v>0</v>
      </c>
      <c r="I12" s="27">
        <v>8773</v>
      </c>
      <c r="J12" s="27">
        <v>5620</v>
      </c>
      <c r="K12" s="27">
        <v>7255</v>
      </c>
      <c r="L12" s="27">
        <v>7115</v>
      </c>
      <c r="M12" s="27">
        <v>2185</v>
      </c>
      <c r="N12" s="27">
        <v>2573</v>
      </c>
      <c r="O12" s="27">
        <v>5072</v>
      </c>
      <c r="P12" s="29">
        <v>975</v>
      </c>
      <c r="Q12" s="27">
        <v>2264</v>
      </c>
      <c r="R12" s="30">
        <v>2304</v>
      </c>
      <c r="S12" s="31">
        <f t="shared" si="0"/>
        <v>271051.66124483716</v>
      </c>
      <c r="T12" s="31">
        <f t="shared" si="1"/>
        <v>49362.661244837174</v>
      </c>
      <c r="U12" s="32">
        <f>T12/31/24</f>
        <v>66.347662963490833</v>
      </c>
    </row>
    <row r="13" spans="2:21" x14ac:dyDescent="0.3">
      <c r="B13" t="s">
        <v>110</v>
      </c>
      <c r="C13" s="27">
        <v>45265</v>
      </c>
      <c r="D13" s="27">
        <v>5720</v>
      </c>
      <c r="E13" s="27">
        <v>5950</v>
      </c>
      <c r="F13" s="27">
        <v>9179</v>
      </c>
      <c r="G13" s="29">
        <v>0</v>
      </c>
      <c r="H13" s="28">
        <v>-11534.338599839586</v>
      </c>
      <c r="I13" s="27">
        <v>9105</v>
      </c>
      <c r="J13" s="27">
        <v>6007</v>
      </c>
      <c r="K13" s="27">
        <v>7735</v>
      </c>
      <c r="L13" s="27">
        <v>7354</v>
      </c>
      <c r="M13" s="27">
        <v>2313</v>
      </c>
      <c r="N13" s="27">
        <v>2724</v>
      </c>
      <c r="O13" s="27">
        <v>5366</v>
      </c>
      <c r="P13" s="29">
        <v>1264</v>
      </c>
      <c r="Q13" s="27">
        <v>2329</v>
      </c>
      <c r="R13" s="30">
        <v>2988</v>
      </c>
      <c r="S13" s="31">
        <f t="shared" si="0"/>
        <v>101764.66140016042</v>
      </c>
      <c r="T13" s="31">
        <f t="shared" si="1"/>
        <v>35650.661400160418</v>
      </c>
      <c r="U13" s="32">
        <f>T13/30/24</f>
        <v>49.514807500222808</v>
      </c>
    </row>
    <row r="14" spans="2:21" x14ac:dyDescent="0.3">
      <c r="B14" t="s">
        <v>111</v>
      </c>
      <c r="C14" s="27">
        <v>23260</v>
      </c>
      <c r="D14" s="27">
        <v>2914</v>
      </c>
      <c r="E14" s="27">
        <v>3007</v>
      </c>
      <c r="F14" s="27">
        <v>4199</v>
      </c>
      <c r="G14" s="29">
        <v>0</v>
      </c>
      <c r="H14" s="28">
        <v>-13069.166427435877</v>
      </c>
      <c r="I14" s="27">
        <v>8425</v>
      </c>
      <c r="J14" s="27">
        <v>6151</v>
      </c>
      <c r="K14" s="27">
        <v>7961</v>
      </c>
      <c r="L14" s="27">
        <v>7785</v>
      </c>
      <c r="M14" s="27">
        <v>2391</v>
      </c>
      <c r="N14" s="27">
        <v>2817</v>
      </c>
      <c r="O14" s="27">
        <v>5538</v>
      </c>
      <c r="P14" s="29">
        <v>1303</v>
      </c>
      <c r="Q14" s="27">
        <v>2103</v>
      </c>
      <c r="R14" s="30">
        <v>3083</v>
      </c>
      <c r="S14" s="31">
        <f t="shared" si="0"/>
        <v>67867.833572564123</v>
      </c>
      <c r="T14" s="31">
        <f t="shared" si="1"/>
        <v>34487.833572564123</v>
      </c>
      <c r="U14" s="32">
        <f>T14/31/24</f>
        <v>46.354615016887266</v>
      </c>
    </row>
    <row r="15" spans="2:21" x14ac:dyDescent="0.3">
      <c r="B15" t="s">
        <v>112</v>
      </c>
      <c r="C15" s="27">
        <v>22991</v>
      </c>
      <c r="D15" s="27">
        <v>2890</v>
      </c>
      <c r="E15" s="27">
        <v>2992</v>
      </c>
      <c r="F15" s="27">
        <v>4301</v>
      </c>
      <c r="G15" s="29">
        <v>0</v>
      </c>
      <c r="H15" s="28">
        <v>-9509.6074556235089</v>
      </c>
      <c r="I15" s="27">
        <v>7783</v>
      </c>
      <c r="J15" s="27">
        <v>5251</v>
      </c>
      <c r="K15" s="27">
        <v>6571</v>
      </c>
      <c r="L15" s="27">
        <v>6562</v>
      </c>
      <c r="M15" s="27">
        <v>2014</v>
      </c>
      <c r="N15" s="27">
        <v>2373</v>
      </c>
      <c r="O15" s="27">
        <v>4648</v>
      </c>
      <c r="P15" s="29">
        <v>826</v>
      </c>
      <c r="Q15" s="27">
        <v>1941</v>
      </c>
      <c r="R15" s="30">
        <v>1954</v>
      </c>
      <c r="S15" s="31">
        <f t="shared" si="0"/>
        <v>63587.392544376489</v>
      </c>
      <c r="T15" s="31">
        <f t="shared" si="1"/>
        <v>30413.392544376489</v>
      </c>
      <c r="U15" s="32">
        <f>T15/31/24</f>
        <v>40.878215785452269</v>
      </c>
    </row>
    <row r="16" spans="2:21" x14ac:dyDescent="0.3">
      <c r="B16" t="s">
        <v>113</v>
      </c>
      <c r="C16" s="27">
        <v>77047</v>
      </c>
      <c r="D16" s="27">
        <v>9784</v>
      </c>
      <c r="E16" s="27">
        <v>10226</v>
      </c>
      <c r="F16" s="27">
        <v>17082</v>
      </c>
      <c r="G16" s="29">
        <v>0</v>
      </c>
      <c r="H16" s="28">
        <v>-1168.5774591278639</v>
      </c>
      <c r="I16" s="27">
        <v>6075</v>
      </c>
      <c r="J16" s="27">
        <v>4609</v>
      </c>
      <c r="K16" s="27">
        <v>6584</v>
      </c>
      <c r="L16" s="27">
        <v>6594</v>
      </c>
      <c r="M16" s="27">
        <v>2010</v>
      </c>
      <c r="N16" s="27">
        <v>2368</v>
      </c>
      <c r="O16" s="27">
        <v>4737</v>
      </c>
      <c r="P16" s="29">
        <v>1015</v>
      </c>
      <c r="Q16" s="27">
        <v>1779</v>
      </c>
      <c r="R16" s="30">
        <v>2402</v>
      </c>
      <c r="S16" s="31">
        <f t="shared" si="0"/>
        <v>151143.42254087212</v>
      </c>
      <c r="T16" s="31">
        <f t="shared" si="1"/>
        <v>37004.42254087214</v>
      </c>
      <c r="U16" s="32">
        <f>T16/30/24</f>
        <v>51.39503130676686</v>
      </c>
    </row>
    <row r="17" spans="1:21" x14ac:dyDescent="0.3">
      <c r="B17" t="s">
        <v>114</v>
      </c>
      <c r="C17" s="27">
        <v>75544</v>
      </c>
      <c r="D17" s="27">
        <v>9596</v>
      </c>
      <c r="E17" s="27">
        <v>10033</v>
      </c>
      <c r="F17" s="27">
        <v>16873</v>
      </c>
      <c r="G17" s="27">
        <v>2040.3138650105238</v>
      </c>
      <c r="H17" s="28">
        <v>0</v>
      </c>
      <c r="I17" s="27">
        <v>3810</v>
      </c>
      <c r="J17" s="27">
        <v>2407</v>
      </c>
      <c r="K17" s="27">
        <v>3614</v>
      </c>
      <c r="L17" s="27">
        <v>3662</v>
      </c>
      <c r="M17" s="27">
        <v>948</v>
      </c>
      <c r="N17" s="27">
        <v>1116</v>
      </c>
      <c r="O17" s="27">
        <v>2135</v>
      </c>
      <c r="P17" s="29">
        <v>377</v>
      </c>
      <c r="Q17" s="27">
        <v>1617</v>
      </c>
      <c r="R17" s="30">
        <v>890</v>
      </c>
      <c r="S17" s="31">
        <f t="shared" si="0"/>
        <v>134662.31386501051</v>
      </c>
      <c r="T17" s="31">
        <f t="shared" si="1"/>
        <v>22616.313865010525</v>
      </c>
      <c r="U17" s="32">
        <f>T17/31/24</f>
        <v>30.398271323938875</v>
      </c>
    </row>
    <row r="18" spans="1:21" x14ac:dyDescent="0.3">
      <c r="B18" t="s">
        <v>115</v>
      </c>
      <c r="C18" s="27">
        <v>70356</v>
      </c>
      <c r="D18" s="27">
        <v>8940</v>
      </c>
      <c r="E18" s="27">
        <v>9351</v>
      </c>
      <c r="F18" s="27">
        <v>15761</v>
      </c>
      <c r="G18" s="27">
        <v>4903.5421434714872</v>
      </c>
      <c r="H18" s="28">
        <v>0</v>
      </c>
      <c r="I18" s="27">
        <v>1777</v>
      </c>
      <c r="J18" s="29">
        <v>537</v>
      </c>
      <c r="K18" s="29">
        <v>766</v>
      </c>
      <c r="L18" s="29">
        <v>742</v>
      </c>
      <c r="M18" s="29">
        <v>198</v>
      </c>
      <c r="N18" s="29">
        <v>231</v>
      </c>
      <c r="O18" s="29">
        <v>437</v>
      </c>
      <c r="P18" s="29">
        <v>276</v>
      </c>
      <c r="Q18" s="27">
        <v>1456</v>
      </c>
      <c r="R18" s="33">
        <v>652</v>
      </c>
      <c r="S18" s="31">
        <f t="shared" si="0"/>
        <v>116383.54214347148</v>
      </c>
      <c r="T18" s="31">
        <f t="shared" si="1"/>
        <v>11975.542143471488</v>
      </c>
      <c r="U18" s="32">
        <f>T18/30/24</f>
        <v>16.632697421488178</v>
      </c>
    </row>
    <row r="19" spans="1:21" x14ac:dyDescent="0.3">
      <c r="B19" t="s">
        <v>116</v>
      </c>
      <c r="C19" s="27">
        <v>61187</v>
      </c>
      <c r="D19" s="27">
        <v>7778</v>
      </c>
      <c r="E19" s="27">
        <v>8137</v>
      </c>
      <c r="F19" s="27">
        <v>13736</v>
      </c>
      <c r="G19" s="27">
        <v>3759.8991602998394</v>
      </c>
      <c r="H19" s="28">
        <v>0</v>
      </c>
      <c r="I19" s="27">
        <v>2144</v>
      </c>
      <c r="J19" s="27">
        <v>1123</v>
      </c>
      <c r="K19" s="27">
        <v>1607</v>
      </c>
      <c r="L19" s="27">
        <v>1621</v>
      </c>
      <c r="M19" s="29">
        <v>580</v>
      </c>
      <c r="N19" s="29">
        <v>682</v>
      </c>
      <c r="O19" s="27">
        <v>1342</v>
      </c>
      <c r="P19" s="29">
        <v>268</v>
      </c>
      <c r="Q19" s="27">
        <v>1294</v>
      </c>
      <c r="R19" s="33">
        <v>634</v>
      </c>
      <c r="S19" s="31">
        <f t="shared" si="0"/>
        <v>105892.89916029984</v>
      </c>
      <c r="T19" s="31">
        <f t="shared" si="1"/>
        <v>15054.899160299839</v>
      </c>
      <c r="U19" s="32">
        <f>T19/31/24</f>
        <v>20.235079516532043</v>
      </c>
    </row>
    <row r="20" spans="1:21" x14ac:dyDescent="0.3">
      <c r="C20" s="31"/>
      <c r="D20" s="31"/>
      <c r="E20" s="31"/>
      <c r="F20" s="31"/>
      <c r="G20" s="31"/>
      <c r="H20" s="31"/>
      <c r="I20" s="31"/>
      <c r="J20" s="31"/>
      <c r="K20" s="31"/>
      <c r="L20" s="31"/>
      <c r="M20" s="31"/>
      <c r="N20" s="31"/>
      <c r="O20" s="31"/>
      <c r="P20" s="31"/>
      <c r="Q20" s="31"/>
      <c r="R20" s="31"/>
      <c r="S20" s="31"/>
    </row>
    <row r="21" spans="1:21" x14ac:dyDescent="0.3">
      <c r="B21" t="s">
        <v>93</v>
      </c>
      <c r="C21" s="31">
        <f t="shared" ref="C21:T21" si="2">SUM(C8:C20)</f>
        <v>976727</v>
      </c>
      <c r="D21" s="31">
        <f t="shared" si="2"/>
        <v>124088</v>
      </c>
      <c r="E21" s="31">
        <f t="shared" si="2"/>
        <v>129762</v>
      </c>
      <c r="F21" s="31">
        <f t="shared" si="2"/>
        <v>215136</v>
      </c>
      <c r="G21" s="31">
        <f t="shared" si="2"/>
        <v>45922.051187870369</v>
      </c>
      <c r="H21" s="31">
        <f t="shared" si="2"/>
        <v>-35281.689942026831</v>
      </c>
      <c r="I21" s="31">
        <f t="shared" si="2"/>
        <v>69017</v>
      </c>
      <c r="J21" s="31">
        <f t="shared" si="2"/>
        <v>48089</v>
      </c>
      <c r="K21" s="31">
        <f t="shared" si="2"/>
        <v>65115</v>
      </c>
      <c r="L21" s="31">
        <f t="shared" si="2"/>
        <v>64691</v>
      </c>
      <c r="M21" s="31">
        <f t="shared" si="2"/>
        <v>20016</v>
      </c>
      <c r="N21" s="31">
        <f t="shared" si="2"/>
        <v>23574</v>
      </c>
      <c r="O21" s="31">
        <f t="shared" si="2"/>
        <v>46265</v>
      </c>
      <c r="P21" s="31">
        <f t="shared" si="2"/>
        <v>10130</v>
      </c>
      <c r="Q21" s="31">
        <f t="shared" si="2"/>
        <v>20929</v>
      </c>
      <c r="R21" s="31">
        <f t="shared" si="2"/>
        <v>23959</v>
      </c>
      <c r="S21" s="31">
        <f t="shared" si="2"/>
        <v>1848138.3612458436</v>
      </c>
      <c r="T21" s="31">
        <f t="shared" si="2"/>
        <v>402425.36124584352</v>
      </c>
    </row>
    <row r="22" spans="1:21" x14ac:dyDescent="0.3">
      <c r="D22" s="31">
        <f>SUM(D21:F21)</f>
        <v>468986</v>
      </c>
    </row>
    <row r="24" spans="1:21" x14ac:dyDescent="0.3">
      <c r="D24" s="31" t="s">
        <v>105</v>
      </c>
      <c r="E24" s="31" t="s">
        <v>106</v>
      </c>
      <c r="F24" s="31" t="s">
        <v>107</v>
      </c>
      <c r="G24" s="31" t="s">
        <v>108</v>
      </c>
      <c r="H24" s="31" t="s">
        <v>109</v>
      </c>
      <c r="I24" s="31" t="s">
        <v>110</v>
      </c>
      <c r="J24" s="31" t="s">
        <v>111</v>
      </c>
      <c r="K24" s="31" t="s">
        <v>112</v>
      </c>
      <c r="L24" s="31" t="s">
        <v>113</v>
      </c>
      <c r="M24" s="31" t="s">
        <v>114</v>
      </c>
      <c r="N24" s="31" t="s">
        <v>115</v>
      </c>
      <c r="O24" s="31" t="s">
        <v>116</v>
      </c>
      <c r="P24" s="31" t="s">
        <v>18</v>
      </c>
    </row>
    <row r="25" spans="1:21" x14ac:dyDescent="0.3">
      <c r="A25" s="488"/>
      <c r="B25" s="488"/>
      <c r="C25" s="488"/>
      <c r="D25" s="31"/>
      <c r="E25" s="31"/>
      <c r="F25" s="31"/>
      <c r="G25" s="31"/>
      <c r="H25" s="31"/>
      <c r="I25" s="31"/>
      <c r="J25" s="31"/>
      <c r="K25" s="31"/>
      <c r="L25" s="31"/>
      <c r="M25" s="31"/>
      <c r="N25" s="31"/>
      <c r="O25" s="31"/>
      <c r="P25" s="31"/>
    </row>
    <row r="26" spans="1:21" x14ac:dyDescent="0.3">
      <c r="B26" s="34"/>
      <c r="C26" s="35" t="s">
        <v>123</v>
      </c>
      <c r="D26" s="31">
        <v>52594</v>
      </c>
      <c r="E26" s="31">
        <v>68741</v>
      </c>
      <c r="F26" s="31">
        <v>88215</v>
      </c>
      <c r="G26" s="31">
        <v>110628</v>
      </c>
      <c r="H26" s="31">
        <v>126377</v>
      </c>
      <c r="I26" s="31">
        <v>128043</v>
      </c>
      <c r="J26" s="31">
        <v>129863</v>
      </c>
      <c r="K26" s="31">
        <v>114602</v>
      </c>
      <c r="L26" s="31">
        <v>88276</v>
      </c>
      <c r="M26" s="31">
        <v>62086</v>
      </c>
      <c r="N26" s="31">
        <v>40602</v>
      </c>
      <c r="O26" s="31">
        <v>41161</v>
      </c>
      <c r="P26" s="31">
        <f t="shared" ref="P26:P33" si="3">SUM(D26:O26)</f>
        <v>1051188</v>
      </c>
    </row>
    <row r="27" spans="1:21" x14ac:dyDescent="0.3">
      <c r="B27" s="34"/>
      <c r="C27" s="35" t="s">
        <v>124</v>
      </c>
      <c r="D27" s="31">
        <v>739</v>
      </c>
      <c r="E27" s="31">
        <v>1283</v>
      </c>
      <c r="F27" s="31">
        <v>2185</v>
      </c>
      <c r="G27" s="31">
        <v>2959</v>
      </c>
      <c r="H27" s="31">
        <v>3425</v>
      </c>
      <c r="I27" s="31">
        <v>3464</v>
      </c>
      <c r="J27" s="31">
        <v>3382</v>
      </c>
      <c r="K27" s="31">
        <v>2663</v>
      </c>
      <c r="L27" s="31">
        <v>2559</v>
      </c>
      <c r="M27" s="31">
        <v>2343</v>
      </c>
      <c r="N27" s="31">
        <v>1892</v>
      </c>
      <c r="O27" s="31">
        <v>1423</v>
      </c>
      <c r="P27" s="31">
        <f t="shared" si="3"/>
        <v>28317</v>
      </c>
    </row>
    <row r="28" spans="1:21" x14ac:dyDescent="0.3">
      <c r="B28" s="34"/>
      <c r="C28" s="35" t="s">
        <v>125</v>
      </c>
      <c r="D28" s="31">
        <v>0</v>
      </c>
      <c r="E28" s="31">
        <v>362</v>
      </c>
      <c r="F28" s="31">
        <v>1489</v>
      </c>
      <c r="G28" s="31">
        <v>1849</v>
      </c>
      <c r="H28" s="31">
        <v>2587</v>
      </c>
      <c r="I28" s="31">
        <v>2792</v>
      </c>
      <c r="J28" s="31">
        <v>1712</v>
      </c>
      <c r="K28" s="31">
        <v>1759</v>
      </c>
      <c r="L28" s="31">
        <v>1674</v>
      </c>
      <c r="M28" s="31">
        <v>2509</v>
      </c>
      <c r="N28" s="31">
        <v>3023</v>
      </c>
      <c r="O28" s="31">
        <v>352</v>
      </c>
      <c r="P28" s="31">
        <f t="shared" si="3"/>
        <v>20108</v>
      </c>
    </row>
    <row r="29" spans="1:21" x14ac:dyDescent="0.3">
      <c r="B29" s="34"/>
      <c r="C29" s="35" t="s">
        <v>126</v>
      </c>
      <c r="D29" s="31">
        <v>-3348</v>
      </c>
      <c r="E29" s="31">
        <v>0</v>
      </c>
      <c r="F29" s="31">
        <v>0</v>
      </c>
      <c r="G29" s="31">
        <v>0</v>
      </c>
      <c r="H29" s="31">
        <v>0</v>
      </c>
      <c r="I29" s="31">
        <v>-5000</v>
      </c>
      <c r="J29" s="31">
        <v>-1652</v>
      </c>
      <c r="K29" s="31">
        <v>0</v>
      </c>
      <c r="L29" s="31">
        <v>0</v>
      </c>
      <c r="M29" s="31">
        <v>0</v>
      </c>
      <c r="N29" s="31">
        <v>0</v>
      </c>
      <c r="O29" s="31">
        <v>0</v>
      </c>
      <c r="P29" s="31">
        <f t="shared" si="3"/>
        <v>-10000</v>
      </c>
    </row>
    <row r="30" spans="1:21" x14ac:dyDescent="0.3">
      <c r="B30" s="34"/>
      <c r="C30" s="35" t="s">
        <v>127</v>
      </c>
      <c r="D30" s="31">
        <v>40000</v>
      </c>
      <c r="E30" s="31">
        <v>20000</v>
      </c>
      <c r="F30" s="31">
        <v>54000</v>
      </c>
      <c r="G30" s="31">
        <v>30000</v>
      </c>
      <c r="H30" s="31">
        <v>24000</v>
      </c>
      <c r="I30" s="31">
        <v>0</v>
      </c>
      <c r="J30" s="31">
        <v>0</v>
      </c>
      <c r="K30" s="31">
        <v>0</v>
      </c>
      <c r="L30" s="31">
        <v>0</v>
      </c>
      <c r="M30" s="31">
        <v>12000</v>
      </c>
      <c r="N30" s="31">
        <v>28000</v>
      </c>
      <c r="O30" s="31">
        <v>21000</v>
      </c>
      <c r="P30" s="31">
        <f t="shared" si="3"/>
        <v>229000</v>
      </c>
    </row>
    <row r="31" spans="1:21" x14ac:dyDescent="0.3">
      <c r="B31" s="34"/>
      <c r="C31" s="35" t="s">
        <v>128</v>
      </c>
      <c r="D31" s="31">
        <v>0</v>
      </c>
      <c r="E31" s="31">
        <v>0</v>
      </c>
      <c r="F31" s="31">
        <v>0</v>
      </c>
      <c r="G31" s="31">
        <v>0</v>
      </c>
      <c r="H31" s="31">
        <v>0</v>
      </c>
      <c r="I31" s="31">
        <v>-82000</v>
      </c>
      <c r="J31" s="31">
        <v>-109000</v>
      </c>
      <c r="K31" s="31">
        <v>-95000</v>
      </c>
      <c r="L31" s="31">
        <v>-12000</v>
      </c>
      <c r="M31" s="31">
        <v>0</v>
      </c>
      <c r="N31" s="31">
        <v>0</v>
      </c>
      <c r="O31" s="31">
        <v>0</v>
      </c>
      <c r="P31" s="31">
        <f t="shared" si="3"/>
        <v>-298000</v>
      </c>
    </row>
    <row r="32" spans="1:21" x14ac:dyDescent="0.3">
      <c r="B32" s="34"/>
      <c r="C32" s="35" t="s">
        <v>129</v>
      </c>
      <c r="D32" s="31">
        <v>89985</v>
      </c>
      <c r="E32" s="31">
        <v>90386</v>
      </c>
      <c r="F32" s="31">
        <v>145889</v>
      </c>
      <c r="G32" s="31">
        <v>145436</v>
      </c>
      <c r="H32" s="31">
        <v>156389</v>
      </c>
      <c r="I32" s="31">
        <v>47299</v>
      </c>
      <c r="J32" s="31">
        <v>24305</v>
      </c>
      <c r="K32" s="31">
        <v>24024</v>
      </c>
      <c r="L32" s="31">
        <v>80509</v>
      </c>
      <c r="M32" s="31">
        <v>78938</v>
      </c>
      <c r="N32" s="31">
        <v>73517</v>
      </c>
      <c r="O32" s="31">
        <v>63936</v>
      </c>
      <c r="P32" s="31">
        <f t="shared" si="3"/>
        <v>1020613</v>
      </c>
      <c r="Q32" s="31">
        <f>SUM(P26:P31)</f>
        <v>1020613</v>
      </c>
    </row>
    <row r="33" spans="2:17" x14ac:dyDescent="0.3">
      <c r="B33" s="34"/>
      <c r="C33" s="35" t="s">
        <v>130</v>
      </c>
      <c r="D33" s="31">
        <v>89985</v>
      </c>
      <c r="E33" s="31">
        <v>90386</v>
      </c>
      <c r="F33" s="31">
        <v>145889</v>
      </c>
      <c r="G33" s="31">
        <v>145436</v>
      </c>
      <c r="H33" s="31">
        <v>156389</v>
      </c>
      <c r="I33" s="31">
        <v>47299</v>
      </c>
      <c r="J33" s="31">
        <v>24305</v>
      </c>
      <c r="K33" s="31">
        <v>24024</v>
      </c>
      <c r="L33" s="31">
        <v>80509</v>
      </c>
      <c r="M33" s="31">
        <v>78938</v>
      </c>
      <c r="N33" s="31">
        <v>73517</v>
      </c>
      <c r="O33" s="31">
        <v>63936</v>
      </c>
      <c r="P33" s="31">
        <f t="shared" si="3"/>
        <v>1020613</v>
      </c>
    </row>
    <row r="34" spans="2:17" x14ac:dyDescent="0.3">
      <c r="B34" s="34"/>
      <c r="C34" s="35"/>
    </row>
    <row r="35" spans="2:17" x14ac:dyDescent="0.3">
      <c r="B35" s="34"/>
      <c r="C35" s="35" t="s">
        <v>117</v>
      </c>
      <c r="D35" s="32">
        <f>D33/50.6/31</f>
        <v>57.366441412724718</v>
      </c>
      <c r="E35" s="32">
        <f>E33/50.6/28</f>
        <v>63.795878035008464</v>
      </c>
      <c r="F35" s="32">
        <f>F33/50.6/31</f>
        <v>93.005865102639291</v>
      </c>
      <c r="G35" s="32">
        <f>G33/50.6/30</f>
        <v>95.807641633728579</v>
      </c>
      <c r="H35" s="32">
        <f>H33/50.6/31</f>
        <v>99.699732245314294</v>
      </c>
      <c r="I35" s="32">
        <f>I33/52/30</f>
        <v>30.319871794871794</v>
      </c>
      <c r="J35" s="32">
        <f>J33/52/31</f>
        <v>15.077543424317618</v>
      </c>
      <c r="K35" s="32">
        <f>K33/52/31</f>
        <v>14.903225806451612</v>
      </c>
      <c r="L35" s="32">
        <f>L33/50.6/30</f>
        <v>53.036231884057969</v>
      </c>
      <c r="M35" s="32">
        <f>M33/50.6/31</f>
        <v>50.323855667474177</v>
      </c>
      <c r="N35" s="32">
        <f>N33/50.6/30</f>
        <v>48.430171277997367</v>
      </c>
      <c r="O35" s="32">
        <f>O33/50.6/31</f>
        <v>40.759913298482722</v>
      </c>
      <c r="P35" s="31">
        <f>P33/50.5</f>
        <v>20210.158415841583</v>
      </c>
    </row>
    <row r="36" spans="2:17" x14ac:dyDescent="0.3">
      <c r="B36" s="34"/>
      <c r="C36" s="35" t="s">
        <v>118</v>
      </c>
      <c r="D36" s="35" t="s">
        <v>206</v>
      </c>
      <c r="E36" s="35" t="s">
        <v>206</v>
      </c>
      <c r="F36" s="35" t="s">
        <v>119</v>
      </c>
      <c r="G36" s="35" t="s">
        <v>119</v>
      </c>
      <c r="H36" s="35" t="s">
        <v>119</v>
      </c>
      <c r="I36" s="35" t="s">
        <v>196</v>
      </c>
      <c r="J36" s="35" t="s">
        <v>197</v>
      </c>
      <c r="K36" s="35" t="s">
        <v>197</v>
      </c>
      <c r="L36" s="35" t="s">
        <v>210</v>
      </c>
      <c r="M36" s="35" t="s">
        <v>121</v>
      </c>
      <c r="N36" s="35" t="s">
        <v>121</v>
      </c>
      <c r="O36" s="35" t="s">
        <v>121</v>
      </c>
      <c r="P36" s="35"/>
    </row>
    <row r="37" spans="2:17" x14ac:dyDescent="0.3">
      <c r="B37" s="34"/>
      <c r="C37" s="35"/>
      <c r="D37" s="35" t="s">
        <v>207</v>
      </c>
      <c r="E37" s="35" t="s">
        <v>207</v>
      </c>
      <c r="F37" s="35" t="s">
        <v>120</v>
      </c>
      <c r="G37" s="35" t="s">
        <v>120</v>
      </c>
      <c r="H37" s="35" t="s">
        <v>120</v>
      </c>
      <c r="I37" s="35"/>
      <c r="J37" s="35"/>
      <c r="K37" s="35"/>
      <c r="L37" s="35" t="s">
        <v>212</v>
      </c>
      <c r="M37" s="35" t="s">
        <v>205</v>
      </c>
      <c r="N37" s="35" t="s">
        <v>205</v>
      </c>
      <c r="O37" s="35" t="s">
        <v>203</v>
      </c>
      <c r="P37" s="35"/>
    </row>
    <row r="38" spans="2:17" x14ac:dyDescent="0.3">
      <c r="B38" s="34"/>
      <c r="C38" s="35"/>
      <c r="D38" s="35" t="s">
        <v>208</v>
      </c>
      <c r="E38" s="35" t="s">
        <v>208</v>
      </c>
      <c r="L38" s="35" t="s">
        <v>211</v>
      </c>
      <c r="O38" s="35" t="s">
        <v>209</v>
      </c>
    </row>
    <row r="39" spans="2:17" x14ac:dyDescent="0.3">
      <c r="B39" s="34"/>
      <c r="C39" s="35" t="s">
        <v>122</v>
      </c>
      <c r="D39" s="32">
        <f>'2022'!C31</f>
        <v>60.387096774193552</v>
      </c>
      <c r="E39" s="32">
        <f>'2022'!C71</f>
        <v>71.571428571428569</v>
      </c>
      <c r="F39" s="32">
        <f>'2022'!C111</f>
        <v>88</v>
      </c>
      <c r="G39" s="32">
        <f>'2022'!C151</f>
        <v>94</v>
      </c>
      <c r="H39" s="32">
        <f>'2022'!C191</f>
        <v>100</v>
      </c>
      <c r="I39" s="118">
        <f>'2022'!C232</f>
        <v>36.666666666666664</v>
      </c>
      <c r="J39" s="32">
        <f>'2022'!C271</f>
        <v>14.387096774193548</v>
      </c>
      <c r="K39" s="32">
        <f>'2022'!C310</f>
        <v>14.258064516129032</v>
      </c>
      <c r="L39" s="32">
        <f>'2022'!C349</f>
        <v>53.333333333333336</v>
      </c>
      <c r="M39" s="32">
        <f>'2022'!C388</f>
        <v>48.645161290322584</v>
      </c>
      <c r="N39" s="32">
        <f>'2022'!C427</f>
        <v>44</v>
      </c>
      <c r="O39" s="32">
        <f>'2022'!C468</f>
        <v>38</v>
      </c>
      <c r="P39" s="31">
        <f>SUM(D39,F39,H39,J39,K39,M39,O39)*31+SUM(G39,I39,L39,N39)*30+E39*29</f>
        <v>20189.571428571428</v>
      </c>
    </row>
    <row r="40" spans="2:17" x14ac:dyDescent="0.3">
      <c r="C40" s="35" t="s">
        <v>194</v>
      </c>
      <c r="D40" s="31">
        <f>D39*31*48.3</f>
        <v>90417.599999999991</v>
      </c>
      <c r="E40" s="31">
        <f>E39*28*48.3</f>
        <v>96793.2</v>
      </c>
      <c r="F40" s="31">
        <f>F39*31*48.3</f>
        <v>131762.4</v>
      </c>
      <c r="G40" s="31">
        <f>G39*30*48.3</f>
        <v>136206</v>
      </c>
      <c r="H40" s="31">
        <f>H39*31*48.3</f>
        <v>149730</v>
      </c>
      <c r="I40" s="31">
        <f>I39*30*48.3</f>
        <v>53130</v>
      </c>
      <c r="J40" s="31">
        <f>J39*31*48.3</f>
        <v>21541.8</v>
      </c>
      <c r="K40" s="31">
        <f>K39*31*48.3</f>
        <v>21348.6</v>
      </c>
      <c r="L40" s="31">
        <f>L39*30*48.3</f>
        <v>77280</v>
      </c>
      <c r="M40" s="31">
        <f>M39*31*48.3</f>
        <v>72836.399999999994</v>
      </c>
      <c r="N40" s="31">
        <f>N39*30*48.3</f>
        <v>63755.999999999993</v>
      </c>
      <c r="O40" s="31">
        <f>O39*31*48.3</f>
        <v>56897.399999999994</v>
      </c>
      <c r="P40" s="31">
        <f t="shared" ref="P40:P41" si="4">SUM(D40:O40)</f>
        <v>971699.4</v>
      </c>
      <c r="Q40" t="s">
        <v>8</v>
      </c>
    </row>
    <row r="41" spans="2:17" x14ac:dyDescent="0.3">
      <c r="C41" s="35" t="s">
        <v>195</v>
      </c>
      <c r="D41" s="81">
        <f>D40*0.485</f>
        <v>43852.535999999993</v>
      </c>
      <c r="E41" s="81">
        <f t="shared" ref="E41:O41" si="5">E40*0.485</f>
        <v>46944.701999999997</v>
      </c>
      <c r="F41" s="81">
        <f t="shared" si="5"/>
        <v>63904.763999999996</v>
      </c>
      <c r="G41" s="81">
        <f t="shared" si="5"/>
        <v>66059.91</v>
      </c>
      <c r="H41" s="81">
        <f t="shared" si="5"/>
        <v>72619.05</v>
      </c>
      <c r="I41" s="81">
        <f t="shared" si="5"/>
        <v>25768.05</v>
      </c>
      <c r="J41" s="81">
        <f t="shared" si="5"/>
        <v>10447.772999999999</v>
      </c>
      <c r="K41" s="81">
        <f t="shared" si="5"/>
        <v>10354.071</v>
      </c>
      <c r="L41" s="81">
        <f t="shared" si="5"/>
        <v>37480.799999999996</v>
      </c>
      <c r="M41" s="81">
        <f t="shared" si="5"/>
        <v>35325.653999999995</v>
      </c>
      <c r="N41" s="81">
        <f t="shared" si="5"/>
        <v>30921.659999999996</v>
      </c>
      <c r="O41" s="81">
        <f t="shared" si="5"/>
        <v>27595.238999999998</v>
      </c>
      <c r="P41" s="31">
        <f t="shared" si="4"/>
        <v>471274.20899999992</v>
      </c>
      <c r="Q41" t="s">
        <v>388</v>
      </c>
    </row>
    <row r="42" spans="2:17" x14ac:dyDescent="0.3">
      <c r="C42" s="35" t="s">
        <v>198</v>
      </c>
      <c r="D42" s="32">
        <f>D41/24/31</f>
        <v>58.941580645161281</v>
      </c>
      <c r="E42" s="32">
        <f>E41/24/28</f>
        <v>69.8581875</v>
      </c>
      <c r="F42" s="32">
        <f t="shared" ref="F42:O42" si="6">F41/24/31</f>
        <v>85.893500000000003</v>
      </c>
      <c r="G42" s="32">
        <f>G41/24/30</f>
        <v>91.749875000000003</v>
      </c>
      <c r="H42" s="32">
        <f t="shared" si="6"/>
        <v>97.606250000000003</v>
      </c>
      <c r="I42" s="32">
        <f>I41/24/30</f>
        <v>35.788958333333333</v>
      </c>
      <c r="J42" s="32">
        <f t="shared" si="6"/>
        <v>14.042705645161289</v>
      </c>
      <c r="K42" s="32">
        <f t="shared" si="6"/>
        <v>13.916762096774194</v>
      </c>
      <c r="L42" s="32">
        <f>L41/24/30</f>
        <v>52.056666666666658</v>
      </c>
      <c r="M42" s="32">
        <f t="shared" si="6"/>
        <v>47.480717741935479</v>
      </c>
      <c r="N42" s="32">
        <f>N41/24/30</f>
        <v>42.946749999999994</v>
      </c>
      <c r="O42" s="32">
        <f t="shared" si="6"/>
        <v>37.090374999999995</v>
      </c>
      <c r="P42" s="31">
        <f>T21</f>
        <v>402425.36124584352</v>
      </c>
      <c r="Q42" t="s">
        <v>387</v>
      </c>
    </row>
    <row r="43" spans="2:17" x14ac:dyDescent="0.3">
      <c r="C43" s="35" t="s">
        <v>199</v>
      </c>
      <c r="D43" s="32">
        <f>U8</f>
        <v>38.80368630231397</v>
      </c>
      <c r="E43" s="32">
        <f>U9</f>
        <v>52.909263878504703</v>
      </c>
      <c r="F43" s="32">
        <f>U10</f>
        <v>69.908573515464568</v>
      </c>
      <c r="G43" s="32">
        <f>U11</f>
        <v>66.878980292201192</v>
      </c>
      <c r="H43" s="32">
        <f>U12</f>
        <v>66.347662963490833</v>
      </c>
      <c r="I43" s="32">
        <f>U13</f>
        <v>49.514807500222808</v>
      </c>
      <c r="J43" s="32">
        <f>U14</f>
        <v>46.354615016887266</v>
      </c>
      <c r="K43" s="32">
        <f>U15</f>
        <v>40.878215785452269</v>
      </c>
      <c r="L43" s="32">
        <f>U16</f>
        <v>51.39503130676686</v>
      </c>
      <c r="M43" s="32">
        <f>U17</f>
        <v>30.398271323938875</v>
      </c>
      <c r="N43" s="32">
        <f>U18</f>
        <v>16.632697421488178</v>
      </c>
      <c r="O43" s="32">
        <f>U19</f>
        <v>20.235079516532043</v>
      </c>
      <c r="P43" s="31">
        <f>SUM(P40:P42)</f>
        <v>1845398.9702458435</v>
      </c>
    </row>
    <row r="44" spans="2:17" x14ac:dyDescent="0.3">
      <c r="C44" s="38" t="s">
        <v>200</v>
      </c>
      <c r="D44" s="51">
        <f>ROUND(D42+D43,0)</f>
        <v>98</v>
      </c>
      <c r="E44" s="51">
        <f t="shared" ref="E44:O44" si="7">ROUND(E42+E43,0)</f>
        <v>123</v>
      </c>
      <c r="F44" s="51">
        <f t="shared" si="7"/>
        <v>156</v>
      </c>
      <c r="G44" s="51">
        <f t="shared" si="7"/>
        <v>159</v>
      </c>
      <c r="H44" s="51">
        <f t="shared" si="7"/>
        <v>164</v>
      </c>
      <c r="I44" s="51">
        <f t="shared" si="7"/>
        <v>85</v>
      </c>
      <c r="J44" s="51">
        <f t="shared" si="7"/>
        <v>60</v>
      </c>
      <c r="K44" s="51">
        <f t="shared" si="7"/>
        <v>55</v>
      </c>
      <c r="L44" s="51">
        <f t="shared" si="7"/>
        <v>103</v>
      </c>
      <c r="M44" s="51">
        <f t="shared" si="7"/>
        <v>78</v>
      </c>
      <c r="N44" s="51">
        <f t="shared" si="7"/>
        <v>60</v>
      </c>
      <c r="O44" s="51">
        <f t="shared" si="7"/>
        <v>57</v>
      </c>
    </row>
  </sheetData>
  <mergeCells count="1">
    <mergeCell ref="A25:C25"/>
  </mergeCells>
  <pageMargins left="0.7" right="0.7" top="0.75" bottom="0.75" header="0.3" footer="0.3"/>
  <pageSetup scale="5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pageSetUpPr fitToPage="1"/>
  </sheetPr>
  <dimension ref="A1:AL162"/>
  <sheetViews>
    <sheetView zoomScale="80" zoomScaleNormal="80" workbookViewId="0">
      <selection activeCell="T66" sqref="T66"/>
    </sheetView>
  </sheetViews>
  <sheetFormatPr defaultColWidth="11.33203125" defaultRowHeight="13.2" x14ac:dyDescent="0.25"/>
  <cols>
    <col min="1" max="1" width="16.6640625" style="127" customWidth="1"/>
    <col min="2" max="18" width="13.88671875" style="127" customWidth="1"/>
    <col min="19" max="19" width="7.33203125" style="134" customWidth="1"/>
    <col min="20" max="22" width="13.88671875" style="127" customWidth="1"/>
    <col min="23" max="26" width="11.33203125" style="127"/>
    <col min="27" max="27" width="13.44140625" style="127" customWidth="1"/>
    <col min="28" max="16384" width="11.33203125" style="127"/>
  </cols>
  <sheetData>
    <row r="1" spans="1:5" ht="17.399999999999999" x14ac:dyDescent="0.3">
      <c r="A1" s="125" t="s">
        <v>247</v>
      </c>
      <c r="B1" s="126" t="s">
        <v>248</v>
      </c>
    </row>
    <row r="2" spans="1:5" ht="17.399999999999999" x14ac:dyDescent="0.3">
      <c r="A2" s="128" t="s">
        <v>249</v>
      </c>
      <c r="B2" s="126" t="s">
        <v>250</v>
      </c>
    </row>
    <row r="3" spans="1:5" ht="17.399999999999999" x14ac:dyDescent="0.3">
      <c r="A3" s="129" t="s">
        <v>251</v>
      </c>
      <c r="B3" s="126" t="s">
        <v>252</v>
      </c>
    </row>
    <row r="5" spans="1:5" x14ac:dyDescent="0.25">
      <c r="C5" s="130" t="s">
        <v>253</v>
      </c>
      <c r="D5" s="131">
        <v>734885</v>
      </c>
      <c r="E5" s="127" t="s">
        <v>254</v>
      </c>
    </row>
    <row r="6" spans="1:5" x14ac:dyDescent="0.25">
      <c r="C6" s="130"/>
      <c r="D6" s="131"/>
    </row>
    <row r="7" spans="1:5" x14ac:dyDescent="0.25">
      <c r="C7" s="130"/>
      <c r="D7" s="131"/>
    </row>
    <row r="8" spans="1:5" x14ac:dyDescent="0.25">
      <c r="C8" s="130" t="s">
        <v>255</v>
      </c>
      <c r="D8" s="131">
        <v>557600</v>
      </c>
      <c r="E8" s="127" t="s">
        <v>254</v>
      </c>
    </row>
    <row r="9" spans="1:5" x14ac:dyDescent="0.25">
      <c r="C9" s="130" t="s">
        <v>256</v>
      </c>
      <c r="D9" s="132">
        <v>1689.8800044483805</v>
      </c>
      <c r="E9" s="127" t="s">
        <v>257</v>
      </c>
    </row>
    <row r="10" spans="1:5" x14ac:dyDescent="0.25">
      <c r="C10" s="130" t="s">
        <v>258</v>
      </c>
      <c r="D10" s="133">
        <v>9000.2403247331058</v>
      </c>
      <c r="E10" s="127" t="s">
        <v>259</v>
      </c>
    </row>
    <row r="11" spans="1:5" x14ac:dyDescent="0.25">
      <c r="C11" s="130"/>
      <c r="D11" s="133"/>
    </row>
    <row r="12" spans="1:5" x14ac:dyDescent="0.25">
      <c r="C12" s="130"/>
      <c r="D12" s="133"/>
    </row>
    <row r="13" spans="1:5" x14ac:dyDescent="0.25">
      <c r="C13" s="130"/>
      <c r="D13" s="133"/>
    </row>
    <row r="14" spans="1:5" x14ac:dyDescent="0.25">
      <c r="C14" s="130"/>
      <c r="D14" s="133"/>
    </row>
    <row r="15" spans="1:5" x14ac:dyDescent="0.25">
      <c r="C15" s="130"/>
      <c r="D15" s="133"/>
    </row>
    <row r="16" spans="1:5" x14ac:dyDescent="0.25">
      <c r="C16" s="130"/>
      <c r="D16" s="133"/>
    </row>
    <row r="17" spans="1:38" x14ac:dyDescent="0.25">
      <c r="C17" s="130"/>
      <c r="D17" s="133"/>
    </row>
    <row r="18" spans="1:38" x14ac:dyDescent="0.25">
      <c r="C18" s="130"/>
      <c r="D18" s="133"/>
    </row>
    <row r="19" spans="1:38" ht="13.8" thickBot="1" x14ac:dyDescent="0.3">
      <c r="A19" s="135"/>
      <c r="B19" s="135"/>
      <c r="C19" s="135"/>
      <c r="D19" s="135"/>
      <c r="E19" s="135"/>
      <c r="F19" s="135"/>
      <c r="G19" s="135"/>
      <c r="H19" s="135"/>
      <c r="I19" s="135"/>
      <c r="J19" s="135"/>
      <c r="K19" s="135"/>
      <c r="L19" s="135"/>
      <c r="M19" s="135"/>
      <c r="N19" s="135"/>
      <c r="O19" s="135"/>
      <c r="P19" s="135"/>
      <c r="Q19" s="135"/>
      <c r="R19" s="135"/>
      <c r="S19" s="136"/>
      <c r="T19" s="135"/>
      <c r="U19" s="135"/>
      <c r="V19" s="135"/>
      <c r="W19" s="135"/>
      <c r="X19" s="135"/>
      <c r="Y19" s="135"/>
      <c r="Z19" s="135"/>
      <c r="AB19" s="127" t="s">
        <v>260</v>
      </c>
    </row>
    <row r="20" spans="1:38" ht="13.8" thickTop="1" x14ac:dyDescent="0.25">
      <c r="A20" s="137"/>
      <c r="B20" s="138"/>
      <c r="C20" s="138"/>
      <c r="D20" s="138"/>
      <c r="E20" s="138"/>
      <c r="F20" s="138"/>
      <c r="G20" s="138"/>
      <c r="H20" s="138"/>
      <c r="I20" s="138"/>
      <c r="J20" s="138"/>
      <c r="K20" s="138"/>
      <c r="L20" s="138"/>
      <c r="M20" s="138"/>
      <c r="N20" s="138"/>
      <c r="O20" s="138"/>
      <c r="P20" s="138"/>
      <c r="Q20" s="138"/>
      <c r="R20" s="139"/>
      <c r="S20" s="140"/>
      <c r="T20" s="135"/>
      <c r="U20" s="135"/>
      <c r="V20" s="135"/>
    </row>
    <row r="21" spans="1:38" x14ac:dyDescent="0.25">
      <c r="A21" s="141"/>
      <c r="B21" s="142"/>
      <c r="C21" s="142"/>
      <c r="D21" s="142"/>
      <c r="E21" s="142"/>
      <c r="F21" s="142"/>
      <c r="G21" s="142"/>
      <c r="H21" s="142"/>
      <c r="I21" s="143" t="s">
        <v>261</v>
      </c>
      <c r="J21" s="142"/>
      <c r="K21" s="142"/>
      <c r="L21" s="142"/>
      <c r="M21" s="142"/>
      <c r="N21" s="142"/>
      <c r="O21" s="142"/>
      <c r="P21" s="142"/>
      <c r="Q21" s="142"/>
      <c r="R21" s="144"/>
      <c r="S21" s="140"/>
      <c r="T21" s="135"/>
      <c r="U21" s="135"/>
      <c r="V21" s="135"/>
      <c r="AB21" s="145" t="s">
        <v>262</v>
      </c>
      <c r="AC21" s="145">
        <v>2013</v>
      </c>
      <c r="AD21" s="145">
        <v>2014</v>
      </c>
      <c r="AE21" s="145" t="s">
        <v>263</v>
      </c>
      <c r="AF21" s="145" t="s">
        <v>264</v>
      </c>
      <c r="AG21" s="145" t="s">
        <v>265</v>
      </c>
      <c r="AH21" s="145" t="s">
        <v>266</v>
      </c>
      <c r="AI21" s="145" t="s">
        <v>267</v>
      </c>
      <c r="AJ21" s="146">
        <v>2020</v>
      </c>
      <c r="AK21" s="146">
        <v>2021</v>
      </c>
      <c r="AL21" s="146">
        <v>2022</v>
      </c>
    </row>
    <row r="22" spans="1:38" x14ac:dyDescent="0.25">
      <c r="A22" s="141"/>
      <c r="B22" s="142"/>
      <c r="C22" s="147"/>
      <c r="D22" s="142"/>
      <c r="E22" s="147"/>
      <c r="F22" s="147"/>
      <c r="G22" s="142"/>
      <c r="H22" s="143"/>
      <c r="I22" s="142"/>
      <c r="J22" s="142"/>
      <c r="K22" s="142"/>
      <c r="L22" s="142"/>
      <c r="M22" s="142"/>
      <c r="N22" s="142"/>
      <c r="O22" s="142"/>
      <c r="P22" s="142"/>
      <c r="Q22" s="142"/>
      <c r="R22" s="144"/>
      <c r="S22" s="140"/>
      <c r="T22" s="135"/>
      <c r="U22" s="135"/>
      <c r="V22" s="135"/>
      <c r="AA22" s="127" t="s">
        <v>64</v>
      </c>
      <c r="AB22" s="132">
        <v>1684.58</v>
      </c>
      <c r="AC22" s="132">
        <v>1668.54</v>
      </c>
      <c r="AD22" s="132">
        <v>1676.01</v>
      </c>
      <c r="AE22" s="132">
        <v>1692.97</v>
      </c>
      <c r="AF22" s="132">
        <v>1691.4099999999999</v>
      </c>
      <c r="AG22" s="132">
        <v>1688.84</v>
      </c>
      <c r="AH22" s="132">
        <v>1684.54</v>
      </c>
      <c r="AI22" s="132">
        <v>1680.61</v>
      </c>
      <c r="AJ22" s="132">
        <f>$B$35</f>
        <v>1690.1998116000643</v>
      </c>
      <c r="AK22" s="127">
        <f>$B$83</f>
        <v>1681.1662299347852</v>
      </c>
      <c r="AL22" s="127">
        <f>$B$131</f>
        <v>0</v>
      </c>
    </row>
    <row r="23" spans="1:38" x14ac:dyDescent="0.25">
      <c r="A23" s="141"/>
      <c r="B23" s="142"/>
      <c r="C23" s="142"/>
      <c r="D23" s="142"/>
      <c r="F23" s="142"/>
      <c r="G23" s="142"/>
      <c r="H23" s="142"/>
      <c r="I23" s="143" t="s">
        <v>268</v>
      </c>
      <c r="J23" s="142"/>
      <c r="K23" s="142"/>
      <c r="L23" s="142"/>
      <c r="M23" s="142"/>
      <c r="N23" s="142"/>
      <c r="O23" s="142"/>
      <c r="P23" s="142"/>
      <c r="Q23" s="142"/>
      <c r="R23" s="144"/>
      <c r="S23" s="140"/>
      <c r="T23" s="135"/>
      <c r="U23" s="135"/>
      <c r="V23" s="135"/>
      <c r="AA23" s="127" t="s">
        <v>65</v>
      </c>
      <c r="AB23" s="132">
        <v>1691.71</v>
      </c>
      <c r="AC23" s="132">
        <v>1679.39</v>
      </c>
      <c r="AD23" s="132">
        <v>1682.06</v>
      </c>
      <c r="AE23" s="132">
        <v>1695.21</v>
      </c>
      <c r="AF23" s="132">
        <v>1694.6000000000001</v>
      </c>
      <c r="AG23" s="132">
        <v>1693.6</v>
      </c>
      <c r="AH23" s="132">
        <v>1688.46</v>
      </c>
      <c r="AI23" s="132">
        <v>1694.83</v>
      </c>
      <c r="AJ23" s="132">
        <f>$B$37</f>
        <v>1693.66</v>
      </c>
      <c r="AK23" s="127">
        <f>$B$85</f>
        <v>1683.7994033650061</v>
      </c>
      <c r="AL23" s="127">
        <f>$B$133</f>
        <v>0</v>
      </c>
    </row>
    <row r="24" spans="1:38" x14ac:dyDescent="0.25">
      <c r="A24" s="141"/>
      <c r="B24" s="142"/>
      <c r="C24" s="142"/>
      <c r="D24" s="142"/>
      <c r="F24" s="142"/>
      <c r="G24" s="142"/>
      <c r="H24" s="143"/>
      <c r="I24" s="142"/>
      <c r="J24" s="142"/>
      <c r="K24" s="142"/>
      <c r="L24" s="142"/>
      <c r="M24" s="142"/>
      <c r="N24" s="142"/>
      <c r="O24" s="142"/>
      <c r="P24" s="142"/>
      <c r="Q24" s="142"/>
      <c r="R24" s="144"/>
      <c r="S24" s="140"/>
      <c r="T24" s="135"/>
      <c r="U24" s="135"/>
      <c r="V24" s="135"/>
      <c r="AA24" s="127" t="s">
        <v>66</v>
      </c>
      <c r="AB24" s="132">
        <v>1695.97</v>
      </c>
      <c r="AC24" s="132">
        <v>1686.95</v>
      </c>
      <c r="AD24" s="132">
        <v>1687.21</v>
      </c>
      <c r="AE24" s="132">
        <v>1696.1</v>
      </c>
      <c r="AF24" s="132">
        <v>1693.55</v>
      </c>
      <c r="AG24" s="132">
        <v>1696.84</v>
      </c>
      <c r="AH24" s="132">
        <v>1691.01</v>
      </c>
      <c r="AI24" s="132">
        <v>1696.57</v>
      </c>
      <c r="AJ24" s="132">
        <f>$B$39</f>
        <v>1696.7</v>
      </c>
      <c r="AK24" s="127">
        <f>$B$87</f>
        <v>1689.8681516903414</v>
      </c>
      <c r="AL24" s="127">
        <f>$B$135</f>
        <v>0</v>
      </c>
    </row>
    <row r="25" spans="1:38" x14ac:dyDescent="0.25">
      <c r="A25" s="141"/>
      <c r="B25" s="142"/>
      <c r="C25" s="142"/>
      <c r="D25" s="142"/>
      <c r="F25" s="142"/>
      <c r="G25" s="142"/>
      <c r="H25" s="142"/>
      <c r="I25" s="329">
        <v>2021</v>
      </c>
      <c r="J25" s="142"/>
      <c r="K25" s="142"/>
      <c r="L25" s="142"/>
      <c r="M25" s="142"/>
      <c r="N25" s="142"/>
      <c r="O25" s="142"/>
      <c r="P25" s="142"/>
      <c r="Q25" s="142"/>
      <c r="R25" s="144"/>
      <c r="S25" s="140"/>
      <c r="T25" s="135"/>
      <c r="U25" s="135"/>
      <c r="V25" s="135"/>
      <c r="AA25" s="127" t="s">
        <v>67</v>
      </c>
      <c r="AB25" s="132">
        <v>1695.87</v>
      </c>
      <c r="AC25" s="132">
        <v>1682.49</v>
      </c>
      <c r="AD25" s="132">
        <v>1687.74</v>
      </c>
      <c r="AE25" s="132">
        <v>1692.06</v>
      </c>
      <c r="AF25" s="132">
        <v>1696.16</v>
      </c>
      <c r="AG25" s="132">
        <v>1697.48</v>
      </c>
      <c r="AH25" s="132">
        <v>1690.89</v>
      </c>
      <c r="AI25" s="132">
        <v>1695.77</v>
      </c>
      <c r="AJ25" s="132">
        <f>$B$41</f>
        <v>1696.11085484296</v>
      </c>
      <c r="AK25" s="127">
        <f>$B$89</f>
        <v>1692.7746549052806</v>
      </c>
      <c r="AL25" s="127">
        <f>$B$137</f>
        <v>0</v>
      </c>
    </row>
    <row r="26" spans="1:38" ht="15.75" customHeight="1" x14ac:dyDescent="0.25">
      <c r="A26" s="141"/>
      <c r="B26" s="142"/>
      <c r="C26" s="142"/>
      <c r="D26" s="142"/>
      <c r="F26" s="142"/>
      <c r="G26" s="142"/>
      <c r="H26" s="143"/>
      <c r="I26" s="142"/>
      <c r="J26" s="142"/>
      <c r="K26" s="142"/>
      <c r="L26" s="142"/>
      <c r="M26" s="142"/>
      <c r="N26" s="142"/>
      <c r="O26" s="142"/>
      <c r="P26" s="142"/>
      <c r="Q26" s="489" t="s">
        <v>269</v>
      </c>
      <c r="R26" s="490"/>
      <c r="S26" s="140"/>
      <c r="T26" s="135"/>
      <c r="U26" s="135"/>
      <c r="V26" s="135"/>
      <c r="X26" s="127" t="s">
        <v>270</v>
      </c>
      <c r="Y26" s="127">
        <v>3488</v>
      </c>
      <c r="AA26" s="127" t="s">
        <v>54</v>
      </c>
      <c r="AB26" s="132">
        <v>1693.14</v>
      </c>
      <c r="AC26" s="132">
        <v>1679.39</v>
      </c>
      <c r="AD26" s="132">
        <v>1686.17</v>
      </c>
      <c r="AE26" s="132">
        <v>1695.14</v>
      </c>
      <c r="AF26" s="132">
        <v>1697.04</v>
      </c>
      <c r="AG26" s="132">
        <v>1699.2</v>
      </c>
      <c r="AH26" s="132">
        <v>1690.06</v>
      </c>
      <c r="AI26" s="132">
        <v>1695.49</v>
      </c>
      <c r="AJ26" s="132">
        <f>$B$43</f>
        <v>1693.7800000000002</v>
      </c>
      <c r="AK26" s="127">
        <f>$B$91</f>
        <v>1694.5322704488995</v>
      </c>
      <c r="AL26" s="127">
        <f>$B$139</f>
        <v>0</v>
      </c>
    </row>
    <row r="27" spans="1:38" ht="15.75" customHeight="1" x14ac:dyDescent="0.25">
      <c r="A27" s="141"/>
      <c r="B27" s="142"/>
      <c r="C27" s="142"/>
      <c r="D27" s="142"/>
      <c r="F27" s="142"/>
      <c r="G27" s="142"/>
      <c r="H27" s="142"/>
      <c r="I27" s="143" t="s">
        <v>271</v>
      </c>
      <c r="J27" s="142"/>
      <c r="K27" s="142"/>
      <c r="L27" s="142"/>
      <c r="M27" s="142"/>
      <c r="N27" s="142"/>
      <c r="O27" s="142"/>
      <c r="P27" s="142"/>
      <c r="Q27" s="489"/>
      <c r="R27" s="490"/>
      <c r="S27" s="140"/>
      <c r="T27" s="135"/>
      <c r="U27" s="135"/>
      <c r="V27" s="135"/>
      <c r="X27" s="127" t="s">
        <v>272</v>
      </c>
      <c r="Y27" s="127">
        <v>34353</v>
      </c>
      <c r="AA27" s="127" t="s">
        <v>68</v>
      </c>
      <c r="AB27" s="132">
        <v>1683.69</v>
      </c>
      <c r="AC27" s="132">
        <v>1668.83</v>
      </c>
      <c r="AD27" s="132">
        <v>1677.62</v>
      </c>
      <c r="AE27" s="132">
        <v>1685.16</v>
      </c>
      <c r="AF27" s="132">
        <v>1683.71</v>
      </c>
      <c r="AG27" s="132">
        <v>1685.59</v>
      </c>
      <c r="AH27" s="132">
        <v>1676.82</v>
      </c>
      <c r="AI27" s="132">
        <v>1685.6</v>
      </c>
      <c r="AJ27" s="132">
        <f>$B$45</f>
        <v>1681.1000000000001</v>
      </c>
      <c r="AK27" s="127">
        <f>$B$93</f>
        <v>1684.7296787926045</v>
      </c>
      <c r="AL27" s="127">
        <f>$B$141</f>
        <v>0</v>
      </c>
    </row>
    <row r="28" spans="1:38" ht="16.5" customHeight="1" thickBot="1" x14ac:dyDescent="0.3">
      <c r="A28" s="141"/>
      <c r="B28" s="142"/>
      <c r="C28" s="142"/>
      <c r="D28" s="142"/>
      <c r="F28" s="142"/>
      <c r="G28" s="142"/>
      <c r="H28" s="143"/>
      <c r="I28" s="142"/>
      <c r="J28" s="142"/>
      <c r="K28" s="142"/>
      <c r="L28" s="142"/>
      <c r="M28" s="142"/>
      <c r="N28" s="142"/>
      <c r="O28" s="142"/>
      <c r="P28" s="142"/>
      <c r="Q28" s="491"/>
      <c r="R28" s="492"/>
      <c r="S28" s="140"/>
      <c r="T28" s="135"/>
      <c r="U28" s="135"/>
      <c r="V28" s="135"/>
      <c r="X28" s="127" t="s">
        <v>273</v>
      </c>
      <c r="Y28" s="127">
        <v>50000</v>
      </c>
      <c r="AA28" s="127" t="s">
        <v>69</v>
      </c>
      <c r="AB28" s="132">
        <v>1653.2</v>
      </c>
      <c r="AC28" s="132">
        <v>1655.42</v>
      </c>
      <c r="AD28" s="132">
        <v>1664.9</v>
      </c>
      <c r="AE28" s="132">
        <v>1673.81</v>
      </c>
      <c r="AF28" s="132">
        <v>1668.3399999999997</v>
      </c>
      <c r="AG28" s="132">
        <v>1672.97</v>
      </c>
      <c r="AH28" s="132">
        <v>1661.6</v>
      </c>
      <c r="AI28" s="132">
        <v>1673.7</v>
      </c>
      <c r="AJ28" s="132">
        <f>$B$47</f>
        <v>1671.6699725311105</v>
      </c>
      <c r="AK28" s="127">
        <f>$B$95</f>
        <v>1670.9540543541625</v>
      </c>
      <c r="AL28" s="127">
        <f>$B$143</f>
        <v>0</v>
      </c>
    </row>
    <row r="29" spans="1:38" x14ac:dyDescent="0.25">
      <c r="A29" s="149"/>
      <c r="B29" s="150" t="s">
        <v>274</v>
      </c>
      <c r="C29" s="151" t="s">
        <v>274</v>
      </c>
      <c r="D29" s="151" t="s">
        <v>274</v>
      </c>
      <c r="E29" s="150" t="s">
        <v>274</v>
      </c>
      <c r="F29" s="152"/>
      <c r="G29" s="152"/>
      <c r="H29" s="153"/>
      <c r="I29" s="152"/>
      <c r="J29" s="152"/>
      <c r="K29" s="154"/>
      <c r="L29" s="152"/>
      <c r="M29" s="153"/>
      <c r="N29" s="152"/>
      <c r="O29" s="152"/>
      <c r="P29" s="152"/>
      <c r="Q29" s="150" t="s">
        <v>274</v>
      </c>
      <c r="R29" s="155" t="s">
        <v>274</v>
      </c>
      <c r="S29" s="156"/>
      <c r="T29" s="135"/>
      <c r="U29" s="135"/>
      <c r="V29" s="135"/>
      <c r="W29" s="156" t="s">
        <v>274</v>
      </c>
      <c r="X29" s="156"/>
      <c r="Y29" s="157">
        <f>SUM(Y26:Y28)</f>
        <v>87841</v>
      </c>
      <c r="Z29" s="156"/>
      <c r="AA29" s="127" t="s">
        <v>70</v>
      </c>
      <c r="AB29" s="132">
        <v>1652.62</v>
      </c>
      <c r="AC29" s="132">
        <v>1641.57</v>
      </c>
      <c r="AD29" s="132">
        <v>1660.54</v>
      </c>
      <c r="AE29" s="132">
        <v>1660.2</v>
      </c>
      <c r="AF29" s="132">
        <v>1656.1100000000001</v>
      </c>
      <c r="AG29" s="132">
        <v>1659.82</v>
      </c>
      <c r="AH29" s="132">
        <v>1636.42</v>
      </c>
      <c r="AI29" s="132">
        <v>1663</v>
      </c>
      <c r="AJ29" s="132">
        <f>$B$49</f>
        <v>1661.2798188452823</v>
      </c>
      <c r="AK29" s="127">
        <f>$B$97</f>
        <v>1657.8171004926969</v>
      </c>
      <c r="AL29" s="127">
        <f>$B$145</f>
        <v>0</v>
      </c>
    </row>
    <row r="30" spans="1:38" x14ac:dyDescent="0.25">
      <c r="A30" s="158"/>
      <c r="B30" s="159"/>
      <c r="C30" s="160"/>
      <c r="D30" s="160"/>
      <c r="E30" s="159"/>
      <c r="F30" s="160"/>
      <c r="G30" s="160"/>
      <c r="H30" s="161"/>
      <c r="I30" s="160"/>
      <c r="J30" s="160"/>
      <c r="K30" s="162" t="s">
        <v>275</v>
      </c>
      <c r="L30" s="160"/>
      <c r="M30" s="163" t="s">
        <v>276</v>
      </c>
      <c r="N30" s="160"/>
      <c r="O30" s="160"/>
      <c r="P30" s="160"/>
      <c r="Q30" s="164" t="s">
        <v>276</v>
      </c>
      <c r="R30" s="165" t="s">
        <v>277</v>
      </c>
      <c r="S30" s="156"/>
      <c r="T30" s="135"/>
      <c r="U30" s="135"/>
      <c r="V30" s="166"/>
      <c r="W30" s="156" t="s">
        <v>277</v>
      </c>
      <c r="X30" s="156"/>
      <c r="Y30" s="156"/>
      <c r="Z30" s="156"/>
      <c r="AA30" s="127" t="s">
        <v>71</v>
      </c>
      <c r="AB30" s="132">
        <v>1638.68</v>
      </c>
      <c r="AC30" s="132">
        <v>1646.14</v>
      </c>
      <c r="AD30" s="132">
        <v>1663.61</v>
      </c>
      <c r="AE30" s="132">
        <v>1665.25</v>
      </c>
      <c r="AF30" s="132">
        <v>1655.21</v>
      </c>
      <c r="AG30" s="132">
        <v>1658.56</v>
      </c>
      <c r="AH30" s="132">
        <v>1637.44</v>
      </c>
      <c r="AI30" s="132">
        <v>1668</v>
      </c>
      <c r="AJ30" s="132">
        <f>$B$51</f>
        <v>1659.68</v>
      </c>
      <c r="AK30" s="127">
        <f>$B$99</f>
        <v>1656.0125953442782</v>
      </c>
      <c r="AL30" s="127">
        <f>$B$147</f>
        <v>0</v>
      </c>
    </row>
    <row r="31" spans="1:38" x14ac:dyDescent="0.25">
      <c r="A31" s="158" t="s">
        <v>278</v>
      </c>
      <c r="B31" s="164" t="s">
        <v>279</v>
      </c>
      <c r="C31" s="167" t="s">
        <v>280</v>
      </c>
      <c r="D31" s="167" t="s">
        <v>281</v>
      </c>
      <c r="E31" s="164" t="s">
        <v>282</v>
      </c>
      <c r="F31" s="160"/>
      <c r="G31" s="160"/>
      <c r="H31" s="163" t="s">
        <v>283</v>
      </c>
      <c r="I31" s="167" t="s">
        <v>18</v>
      </c>
      <c r="J31" s="167" t="s">
        <v>18</v>
      </c>
      <c r="K31" s="162" t="s">
        <v>284</v>
      </c>
      <c r="L31" s="167" t="s">
        <v>276</v>
      </c>
      <c r="M31" s="163" t="s">
        <v>285</v>
      </c>
      <c r="N31" s="167" t="s">
        <v>277</v>
      </c>
      <c r="O31" s="167" t="s">
        <v>277</v>
      </c>
      <c r="P31" s="167" t="s">
        <v>286</v>
      </c>
      <c r="Q31" s="164" t="s">
        <v>287</v>
      </c>
      <c r="R31" s="165" t="s">
        <v>287</v>
      </c>
      <c r="S31" s="156"/>
      <c r="T31" s="166" t="s">
        <v>288</v>
      </c>
      <c r="U31" s="166" t="s">
        <v>277</v>
      </c>
      <c r="V31" s="166" t="s">
        <v>289</v>
      </c>
      <c r="W31" s="156" t="s">
        <v>287</v>
      </c>
      <c r="X31" s="156" t="s">
        <v>290</v>
      </c>
      <c r="Y31" s="156"/>
      <c r="Z31" s="156"/>
      <c r="AA31" s="127" t="s">
        <v>72</v>
      </c>
      <c r="AB31" s="132">
        <v>1640.34</v>
      </c>
      <c r="AC31" s="132">
        <v>1657.17</v>
      </c>
      <c r="AD31" s="132">
        <v>1666.06</v>
      </c>
      <c r="AE31" s="132">
        <v>1667.24</v>
      </c>
      <c r="AF31" s="132">
        <v>1660.29</v>
      </c>
      <c r="AG31" s="132">
        <v>1663.98</v>
      </c>
      <c r="AH31" s="132">
        <v>1654.22</v>
      </c>
      <c r="AI31" s="132">
        <v>1672.13</v>
      </c>
      <c r="AJ31" s="132">
        <f>$B$53</f>
        <v>1666.1201789843401</v>
      </c>
      <c r="AK31" s="127">
        <f>$B$101</f>
        <v>1657.7541449025921</v>
      </c>
      <c r="AL31" s="127">
        <f>$B$149</f>
        <v>0</v>
      </c>
    </row>
    <row r="32" spans="1:38" x14ac:dyDescent="0.25">
      <c r="A32" s="168" t="s">
        <v>291</v>
      </c>
      <c r="B32" s="164" t="s">
        <v>292</v>
      </c>
      <c r="C32" s="167" t="s">
        <v>293</v>
      </c>
      <c r="D32" s="167" t="s">
        <v>293</v>
      </c>
      <c r="E32" s="164" t="s">
        <v>294</v>
      </c>
      <c r="F32" s="167" t="s">
        <v>295</v>
      </c>
      <c r="G32" s="167" t="s">
        <v>296</v>
      </c>
      <c r="H32" s="163" t="s">
        <v>295</v>
      </c>
      <c r="I32" s="167" t="s">
        <v>295</v>
      </c>
      <c r="J32" s="167" t="s">
        <v>297</v>
      </c>
      <c r="K32" s="162" t="s">
        <v>298</v>
      </c>
      <c r="L32" s="167" t="s">
        <v>299</v>
      </c>
      <c r="M32" s="163" t="s">
        <v>300</v>
      </c>
      <c r="N32" s="167" t="s">
        <v>301</v>
      </c>
      <c r="O32" s="167" t="s">
        <v>299</v>
      </c>
      <c r="P32" s="167" t="s">
        <v>302</v>
      </c>
      <c r="Q32" s="164" t="s">
        <v>303</v>
      </c>
      <c r="R32" s="165" t="s">
        <v>303</v>
      </c>
      <c r="S32" s="156"/>
      <c r="T32" s="166" t="s">
        <v>304</v>
      </c>
      <c r="U32" s="166" t="s">
        <v>304</v>
      </c>
      <c r="V32" s="166" t="s">
        <v>305</v>
      </c>
      <c r="W32" s="156" t="s">
        <v>303</v>
      </c>
      <c r="X32" s="156" t="s">
        <v>306</v>
      </c>
      <c r="Y32" s="156" t="s">
        <v>307</v>
      </c>
      <c r="Z32" s="156" t="s">
        <v>308</v>
      </c>
      <c r="AA32" s="127" t="s">
        <v>73</v>
      </c>
      <c r="AB32" s="132">
        <v>1656.7</v>
      </c>
      <c r="AC32" s="132">
        <v>1667.83</v>
      </c>
      <c r="AD32" s="132">
        <v>1672.78</v>
      </c>
      <c r="AE32" s="132">
        <v>1673.02</v>
      </c>
      <c r="AF32" s="132">
        <v>1669.95</v>
      </c>
      <c r="AG32" s="132">
        <v>1672.25</v>
      </c>
      <c r="AH32" s="132">
        <v>1665.14</v>
      </c>
      <c r="AI32" s="132">
        <v>1685.71</v>
      </c>
      <c r="AJ32" s="132">
        <f>$B$55</f>
        <v>1674.5115454492184</v>
      </c>
      <c r="AK32" s="127">
        <f>$B$103</f>
        <v>1661.6824342464906</v>
      </c>
      <c r="AL32" s="127">
        <f>$B$151</f>
        <v>0</v>
      </c>
    </row>
    <row r="33" spans="1:38" ht="13.8" thickBot="1" x14ac:dyDescent="0.3">
      <c r="A33" s="169"/>
      <c r="B33" s="170" t="s">
        <v>309</v>
      </c>
      <c r="C33" s="171" t="s">
        <v>310</v>
      </c>
      <c r="D33" s="171" t="s">
        <v>310</v>
      </c>
      <c r="E33" s="170" t="s">
        <v>311</v>
      </c>
      <c r="F33" s="171" t="s">
        <v>312</v>
      </c>
      <c r="G33" s="171" t="s">
        <v>312</v>
      </c>
      <c r="H33" s="172" t="s">
        <v>312</v>
      </c>
      <c r="I33" s="171" t="s">
        <v>310</v>
      </c>
      <c r="J33" s="171" t="s">
        <v>310</v>
      </c>
      <c r="K33" s="173" t="s">
        <v>310</v>
      </c>
      <c r="L33" s="171" t="s">
        <v>310</v>
      </c>
      <c r="M33" s="172" t="s">
        <v>310</v>
      </c>
      <c r="N33" s="171" t="s">
        <v>310</v>
      </c>
      <c r="O33" s="171" t="s">
        <v>310</v>
      </c>
      <c r="P33" s="171" t="s">
        <v>310</v>
      </c>
      <c r="Q33" s="170" t="s">
        <v>310</v>
      </c>
      <c r="R33" s="174" t="s">
        <v>310</v>
      </c>
      <c r="S33" s="156"/>
      <c r="T33" s="166" t="s">
        <v>313</v>
      </c>
      <c r="U33" s="166" t="s">
        <v>313</v>
      </c>
      <c r="V33" s="166" t="s">
        <v>310</v>
      </c>
      <c r="W33" s="156" t="s">
        <v>310</v>
      </c>
      <c r="X33" s="156"/>
      <c r="Y33" s="156"/>
      <c r="Z33" s="156"/>
      <c r="AA33" s="127" t="s">
        <v>74</v>
      </c>
      <c r="AB33" s="132">
        <v>1664.26</v>
      </c>
      <c r="AC33" s="132">
        <v>1672.96</v>
      </c>
      <c r="AD33" s="132">
        <v>1679.81</v>
      </c>
      <c r="AE33" s="132">
        <v>1678.56</v>
      </c>
      <c r="AF33" s="132">
        <v>1676.8100000000002</v>
      </c>
      <c r="AG33" s="132">
        <v>1680.49</v>
      </c>
      <c r="AH33" s="132">
        <v>1674.98</v>
      </c>
      <c r="AI33" s="132">
        <v>1689.88</v>
      </c>
      <c r="AJ33" s="132">
        <f>$B$57</f>
        <v>1676.0048921424359</v>
      </c>
      <c r="AK33" s="127">
        <f>$B$105</f>
        <v>1664.6987777744255</v>
      </c>
      <c r="AL33" s="127">
        <f>$B$153</f>
        <v>0</v>
      </c>
    </row>
    <row r="34" spans="1:38" x14ac:dyDescent="0.25">
      <c r="A34" s="141"/>
      <c r="B34" s="175"/>
      <c r="C34" s="142"/>
      <c r="D34" s="142"/>
      <c r="E34" s="175"/>
      <c r="F34" s="142"/>
      <c r="G34" s="142"/>
      <c r="H34" s="176"/>
      <c r="I34" s="142"/>
      <c r="J34" s="142"/>
      <c r="K34" s="177"/>
      <c r="L34" s="178"/>
      <c r="M34" s="179"/>
      <c r="N34" s="142"/>
      <c r="O34" s="142"/>
      <c r="P34" s="142"/>
      <c r="Q34" s="175"/>
      <c r="R34" s="144"/>
      <c r="S34" s="140"/>
      <c r="T34" s="135"/>
      <c r="U34" s="135"/>
      <c r="V34" s="135"/>
    </row>
    <row r="35" spans="1:38" x14ac:dyDescent="0.25">
      <c r="A35" s="141" t="s">
        <v>314</v>
      </c>
      <c r="B35" s="180">
        <v>1690.1998116000643</v>
      </c>
      <c r="C35" s="181">
        <v>737767.49950234545</v>
      </c>
      <c r="D35" s="181">
        <v>699926.49950234545</v>
      </c>
      <c r="E35" s="182">
        <v>9024.1856816063046</v>
      </c>
      <c r="F35" s="183">
        <v>3.09</v>
      </c>
      <c r="G35" s="183">
        <v>1.96</v>
      </c>
      <c r="H35" s="184">
        <v>1.1299999999999999</v>
      </c>
      <c r="I35" s="181">
        <v>795.61796317096412</v>
      </c>
      <c r="J35" s="185">
        <v>62</v>
      </c>
      <c r="K35" s="186">
        <v>84</v>
      </c>
      <c r="L35" s="185">
        <v>0</v>
      </c>
      <c r="M35" s="187">
        <v>0</v>
      </c>
      <c r="N35" s="188">
        <v>71569</v>
      </c>
      <c r="O35" s="188">
        <v>0</v>
      </c>
      <c r="P35" s="185">
        <v>0</v>
      </c>
      <c r="Q35" s="189">
        <v>126690.24432936229</v>
      </c>
      <c r="R35" s="190">
        <v>573236.25517298316</v>
      </c>
      <c r="S35" s="191"/>
      <c r="T35" s="192">
        <f>(D10*H35)/12</f>
        <v>847.52263057903394</v>
      </c>
      <c r="U35" s="192">
        <f>T35*((D8-37841)/D5)</f>
        <v>599.42373969686162</v>
      </c>
      <c r="V35" s="193">
        <v>4260.1375153863946</v>
      </c>
      <c r="W35" s="181">
        <f>(+$D$8+$N35-$O35-$P35+$M35-$U35)</f>
        <v>628569.57626030315</v>
      </c>
      <c r="X35" s="194">
        <f>'[1]2020 T0'!C$328*60*60*24/43560*'[1]2020 T0'!$C$10+'[1]2020 T0'!C$228+'[1]2020 T0'!C$329</f>
        <v>1478440.2036000793</v>
      </c>
      <c r="Y35" s="194">
        <f>X35+X37</f>
        <v>4394646.2285793992</v>
      </c>
      <c r="Z35" s="194">
        <f>X35+X37+X39</f>
        <v>6840718.8519385587</v>
      </c>
    </row>
    <row r="36" spans="1:38" x14ac:dyDescent="0.25">
      <c r="A36" s="141"/>
      <c r="B36" s="180"/>
      <c r="C36" s="181"/>
      <c r="D36" s="181"/>
      <c r="E36" s="182"/>
      <c r="F36" s="183"/>
      <c r="G36" s="183"/>
      <c r="H36" s="184"/>
      <c r="I36" s="181"/>
      <c r="J36" s="185"/>
      <c r="K36" s="186"/>
      <c r="L36" s="185"/>
      <c r="M36" s="195"/>
      <c r="N36" s="188"/>
      <c r="O36" s="188"/>
      <c r="P36" s="185"/>
      <c r="Q36" s="189"/>
      <c r="R36" s="190"/>
      <c r="S36" s="191"/>
      <c r="T36" s="196"/>
      <c r="U36" s="196"/>
      <c r="V36" s="193"/>
      <c r="X36" s="197">
        <f>W35-X35</f>
        <v>-849870.62733977614</v>
      </c>
      <c r="Y36" s="197">
        <f>W35-Y35</f>
        <v>-3766076.652319096</v>
      </c>
      <c r="Z36" s="197">
        <f>W35-Z35</f>
        <v>-6212149.2756782556</v>
      </c>
      <c r="AA36" s="127" t="s">
        <v>64</v>
      </c>
    </row>
    <row r="37" spans="1:38" x14ac:dyDescent="0.25">
      <c r="A37" s="141" t="s">
        <v>315</v>
      </c>
      <c r="B37" s="180">
        <v>1693.66</v>
      </c>
      <c r="C37" s="181">
        <v>769444.72000020114</v>
      </c>
      <c r="D37" s="181">
        <v>731603.72000020114</v>
      </c>
      <c r="E37" s="182">
        <v>9285.5000000016425</v>
      </c>
      <c r="F37" s="183">
        <v>3.75</v>
      </c>
      <c r="G37" s="183">
        <v>0</v>
      </c>
      <c r="H37" s="184">
        <v>3.75</v>
      </c>
      <c r="I37" s="181">
        <v>2820.0580255019704</v>
      </c>
      <c r="J37" s="185">
        <v>56</v>
      </c>
      <c r="K37" s="186">
        <v>59</v>
      </c>
      <c r="L37" s="185">
        <v>0</v>
      </c>
      <c r="M37" s="195">
        <v>1500</v>
      </c>
      <c r="N37" s="188">
        <v>35134</v>
      </c>
      <c r="O37" s="188">
        <v>0</v>
      </c>
      <c r="P37" s="185">
        <v>0</v>
      </c>
      <c r="Q37" s="189">
        <v>124043.0780552621</v>
      </c>
      <c r="R37" s="190">
        <v>607560.64194493904</v>
      </c>
      <c r="S37" s="191"/>
      <c r="T37" s="196">
        <f>(E35*H37/12)</f>
        <v>2820.0580255019704</v>
      </c>
      <c r="U37" s="196">
        <f>(T37*(R35/D35))</f>
        <v>2309.6132280441675</v>
      </c>
      <c r="V37" s="193">
        <v>-943.63366667315563</v>
      </c>
      <c r="W37" s="181">
        <f>($R35+$N37-$O37-$P37+$M37-$U37)</f>
        <v>607560.64194493904</v>
      </c>
      <c r="X37" s="198">
        <f>'[1]2020 T0'!D$328*60*60*24/43560*'[1]2020 T0'!D$10+'[1]2020 T0'!D$228+'[1]2020 T0'!D$329</f>
        <v>2916206.0249793199</v>
      </c>
      <c r="Y37" s="198">
        <f>X37+X39</f>
        <v>5362278.648338479</v>
      </c>
      <c r="Z37" s="198">
        <f>X37+X39+X41</f>
        <v>8918801.4702398628</v>
      </c>
      <c r="AA37" s="199"/>
    </row>
    <row r="38" spans="1:38" x14ac:dyDescent="0.25">
      <c r="A38" s="141"/>
      <c r="B38" s="180"/>
      <c r="C38" s="181" t="s">
        <v>278</v>
      </c>
      <c r="D38" s="181" t="s">
        <v>278</v>
      </c>
      <c r="E38" s="182" t="s">
        <v>278</v>
      </c>
      <c r="F38" s="183"/>
      <c r="G38" s="183"/>
      <c r="H38" s="184" t="s">
        <v>278</v>
      </c>
      <c r="I38" s="181"/>
      <c r="J38" s="185"/>
      <c r="K38" s="186"/>
      <c r="L38" s="185"/>
      <c r="M38" s="195" t="s">
        <v>316</v>
      </c>
      <c r="N38" s="188"/>
      <c r="O38" s="188"/>
      <c r="P38" s="185"/>
      <c r="Q38" s="189"/>
      <c r="R38" s="190"/>
      <c r="S38" s="191"/>
      <c r="T38" s="196"/>
      <c r="U38" s="196"/>
      <c r="V38" s="193"/>
      <c r="X38" s="200">
        <f>W37-X37</f>
        <v>-2308645.3830343811</v>
      </c>
      <c r="Y38" s="200">
        <f>W37-Y37</f>
        <v>-4754718.0063935397</v>
      </c>
      <c r="Z38" s="200">
        <f>W37-Z37</f>
        <v>-8311240.8282949235</v>
      </c>
      <c r="AA38" s="199" t="s">
        <v>65</v>
      </c>
    </row>
    <row r="39" spans="1:38" x14ac:dyDescent="0.25">
      <c r="A39" s="141" t="s">
        <v>317</v>
      </c>
      <c r="B39" s="180">
        <v>1696.7</v>
      </c>
      <c r="C39" s="181">
        <v>798029.20000023092</v>
      </c>
      <c r="D39" s="181">
        <v>760188.20000023092</v>
      </c>
      <c r="E39" s="182">
        <v>9522.3000000019438</v>
      </c>
      <c r="F39" s="183">
        <v>5.05</v>
      </c>
      <c r="G39" s="183">
        <v>0.2</v>
      </c>
      <c r="H39" s="184">
        <v>4.8499999999999996</v>
      </c>
      <c r="I39" s="181">
        <v>3752.8895833339971</v>
      </c>
      <c r="J39" s="185">
        <v>62</v>
      </c>
      <c r="K39" s="186">
        <v>34</v>
      </c>
      <c r="L39" s="185">
        <v>0</v>
      </c>
      <c r="M39" s="195">
        <v>3973</v>
      </c>
      <c r="N39" s="188">
        <v>33356</v>
      </c>
      <c r="O39" s="188">
        <v>437</v>
      </c>
      <c r="P39" s="185">
        <v>0</v>
      </c>
      <c r="Q39" s="189">
        <v>118852.14691626467</v>
      </c>
      <c r="R39" s="190">
        <v>641336.05308396625</v>
      </c>
      <c r="S39" s="191"/>
      <c r="T39" s="196">
        <f>(E37*H39/12)</f>
        <v>3752.8895833339971</v>
      </c>
      <c r="U39" s="196">
        <f>(T39*(R37/D37))</f>
        <v>3116.5888609727836</v>
      </c>
      <c r="V39" s="193">
        <v>16638.361612809276</v>
      </c>
      <c r="W39" s="181">
        <f>($R37+$N39-$O39-$P39+$M39-$U39)</f>
        <v>641336.05308396625</v>
      </c>
      <c r="X39" s="194">
        <f>'[1]2020 T0'!F$328*60*60*24/43560*'[1]2020 T0'!F$10+'[1]2020 T0'!F$228+'[1]2020 T0'!F$329</f>
        <v>2446072.6233591591</v>
      </c>
      <c r="Y39" s="194">
        <f>X39+X41</f>
        <v>6002595.4452605434</v>
      </c>
      <c r="Z39" s="194">
        <f>X39+X41+X43</f>
        <v>8819066.8893118389</v>
      </c>
    </row>
    <row r="40" spans="1:38" x14ac:dyDescent="0.25">
      <c r="A40" s="141"/>
      <c r="B40" s="180"/>
      <c r="C40" s="181" t="s">
        <v>278</v>
      </c>
      <c r="D40" s="181"/>
      <c r="E40" s="182" t="s">
        <v>278</v>
      </c>
      <c r="F40" s="183"/>
      <c r="G40" s="183"/>
      <c r="H40" s="184" t="s">
        <v>278</v>
      </c>
      <c r="I40" s="181"/>
      <c r="J40" s="185"/>
      <c r="K40" s="186"/>
      <c r="L40" s="185"/>
      <c r="M40" s="195"/>
      <c r="N40" s="188"/>
      <c r="O40" s="188"/>
      <c r="P40" s="185"/>
      <c r="Q40" s="189"/>
      <c r="R40" s="190"/>
      <c r="S40" s="191"/>
      <c r="T40" s="196"/>
      <c r="U40" s="196"/>
      <c r="V40" s="193"/>
      <c r="X40" s="197">
        <f>W39-X39</f>
        <v>-1804736.5702751928</v>
      </c>
      <c r="Y40" s="197">
        <f>W39-Y39</f>
        <v>-5361259.3921765769</v>
      </c>
      <c r="Z40" s="197">
        <f>W39-Z39</f>
        <v>-8177730.8362278724</v>
      </c>
      <c r="AA40" s="127" t="s">
        <v>66</v>
      </c>
    </row>
    <row r="41" spans="1:38" x14ac:dyDescent="0.25">
      <c r="A41" s="141" t="s">
        <v>318</v>
      </c>
      <c r="B41" s="180">
        <v>1696.11085484296</v>
      </c>
      <c r="C41" s="181">
        <v>792431.79075022961</v>
      </c>
      <c r="D41" s="181">
        <v>754590.79075022961</v>
      </c>
      <c r="E41" s="182">
        <v>9475.7575325957405</v>
      </c>
      <c r="F41" s="183">
        <v>8.33</v>
      </c>
      <c r="G41" s="183">
        <v>0.16</v>
      </c>
      <c r="H41" s="184">
        <v>8.17</v>
      </c>
      <c r="I41" s="181">
        <v>6483.0992500013235</v>
      </c>
      <c r="J41" s="185">
        <v>60</v>
      </c>
      <c r="K41" s="186">
        <v>13</v>
      </c>
      <c r="L41" s="185">
        <v>597</v>
      </c>
      <c r="M41" s="195">
        <v>2121</v>
      </c>
      <c r="N41" s="188">
        <v>2171</v>
      </c>
      <c r="O41" s="188">
        <v>1292</v>
      </c>
      <c r="P41" s="185">
        <v>0</v>
      </c>
      <c r="Q41" s="189">
        <v>115724.23230554641</v>
      </c>
      <c r="R41" s="190">
        <v>638866.55844468321</v>
      </c>
      <c r="S41" s="191"/>
      <c r="T41" s="196">
        <f>(E39*H41/12)</f>
        <v>6483.0992500013235</v>
      </c>
      <c r="U41" s="196">
        <f>(T41*(R39/D39))</f>
        <v>5469.4946392830188</v>
      </c>
      <c r="V41" s="193">
        <v>155.93807451010503</v>
      </c>
      <c r="W41" s="181">
        <f>($R39+$N41-$O41-$P41+$M41-$U41)</f>
        <v>638866.55844468321</v>
      </c>
      <c r="X41" s="198">
        <f>'[1]2020 T0'!G$328*60*60*24/43560*'[1]2020 T0'!G$10+'[1]2020 T0'!G$228+'[1]2020 T0'!G$329</f>
        <v>3556522.8219013843</v>
      </c>
      <c r="Y41" s="198">
        <f>X41+X43</f>
        <v>6372994.2659526803</v>
      </c>
      <c r="Z41" s="198">
        <f>X41+X43+X45</f>
        <v>9166992.1000296716</v>
      </c>
      <c r="AA41" s="199"/>
    </row>
    <row r="42" spans="1:38" x14ac:dyDescent="0.25">
      <c r="A42" s="141"/>
      <c r="B42" s="180"/>
      <c r="C42" s="181" t="s">
        <v>278</v>
      </c>
      <c r="D42" s="181" t="s">
        <v>278</v>
      </c>
      <c r="E42" s="182" t="s">
        <v>278</v>
      </c>
      <c r="F42" s="183"/>
      <c r="G42" s="183"/>
      <c r="H42" s="184" t="s">
        <v>278</v>
      </c>
      <c r="I42" s="181"/>
      <c r="J42" s="185"/>
      <c r="K42" s="186"/>
      <c r="L42" s="185"/>
      <c r="M42" s="195"/>
      <c r="N42" s="188"/>
      <c r="O42" s="188"/>
      <c r="P42" s="185"/>
      <c r="Q42" s="189"/>
      <c r="R42" s="190"/>
      <c r="S42" s="191"/>
      <c r="T42" s="196"/>
      <c r="U42" s="196"/>
      <c r="V42" s="193"/>
      <c r="X42" s="200">
        <f>W41-X41</f>
        <v>-2917656.2634567013</v>
      </c>
      <c r="Y42" s="200">
        <f>W41-Y41</f>
        <v>-5734127.7075079968</v>
      </c>
      <c r="Z42" s="200">
        <f>W41-Z41</f>
        <v>-8528125.5415849891</v>
      </c>
      <c r="AA42" s="199" t="s">
        <v>67</v>
      </c>
    </row>
    <row r="43" spans="1:38" x14ac:dyDescent="0.25">
      <c r="A43" s="141" t="s">
        <v>319</v>
      </c>
      <c r="B43" s="180">
        <v>1693.7800000000002</v>
      </c>
      <c r="C43" s="181">
        <v>770559.76000020187</v>
      </c>
      <c r="D43" s="181">
        <v>732718.76000020187</v>
      </c>
      <c r="E43" s="182">
        <v>9294.5000000016516</v>
      </c>
      <c r="F43" s="183">
        <v>9.9499999999999993</v>
      </c>
      <c r="G43" s="183">
        <v>0</v>
      </c>
      <c r="H43" s="184">
        <v>9.9499999999999993</v>
      </c>
      <c r="I43" s="181">
        <v>7856.9822874439678</v>
      </c>
      <c r="J43" s="185">
        <v>62</v>
      </c>
      <c r="K43" s="186">
        <v>0</v>
      </c>
      <c r="L43" s="185">
        <v>0</v>
      </c>
      <c r="M43" s="195">
        <v>2837</v>
      </c>
      <c r="N43" s="188">
        <v>262</v>
      </c>
      <c r="O43" s="188">
        <v>16465</v>
      </c>
      <c r="P43" s="185">
        <v>0</v>
      </c>
      <c r="Q43" s="189">
        <v>113870.23507523548</v>
      </c>
      <c r="R43" s="190">
        <v>618848.52492496639</v>
      </c>
      <c r="S43" s="191"/>
      <c r="T43" s="196">
        <f>(E41*H43/12)</f>
        <v>7856.9822874439678</v>
      </c>
      <c r="U43" s="196">
        <f>(T43*(R41/D41))</f>
        <v>6652.0335197168388</v>
      </c>
      <c r="V43" s="193">
        <v>-1478.6955749781059</v>
      </c>
      <c r="W43" s="181">
        <f>($R41+$N43-$O43-$P43+$M43-$U43)</f>
        <v>618848.52492496639</v>
      </c>
      <c r="X43" s="194">
        <f>'[1]2020 T0'!H$328*60*60*24/43560*'[1]2020 T0'!H$10+'[1]2020 T0'!H$228+'[1]2020 T0'!H$329</f>
        <v>2816471.4440512955</v>
      </c>
      <c r="Y43" s="194">
        <f>X43+X45</f>
        <v>5610469.2781282868</v>
      </c>
      <c r="Z43" s="194">
        <f>X43+X45+X47</f>
        <v>8525814.248919066</v>
      </c>
    </row>
    <row r="44" spans="1:38" x14ac:dyDescent="0.25">
      <c r="A44" s="141"/>
      <c r="B44" s="180"/>
      <c r="C44" s="181" t="s">
        <v>278</v>
      </c>
      <c r="D44" s="181" t="s">
        <v>278</v>
      </c>
      <c r="E44" s="182" t="s">
        <v>278</v>
      </c>
      <c r="F44" s="183"/>
      <c r="G44" s="183"/>
      <c r="H44" s="184" t="s">
        <v>278</v>
      </c>
      <c r="I44" s="181"/>
      <c r="J44" s="185"/>
      <c r="K44" s="186"/>
      <c r="L44" s="185"/>
      <c r="M44" s="195"/>
      <c r="N44" s="188"/>
      <c r="O44" s="188"/>
      <c r="P44" s="185"/>
      <c r="Q44" s="189"/>
      <c r="R44" s="190"/>
      <c r="S44" s="191"/>
      <c r="T44" s="196"/>
      <c r="U44" s="196"/>
      <c r="V44" s="193"/>
      <c r="X44" s="197">
        <f>W43-X43</f>
        <v>-2197622.919126329</v>
      </c>
      <c r="Y44" s="197">
        <f>W43-Y43</f>
        <v>-4991620.7532033203</v>
      </c>
      <c r="Z44" s="197">
        <f>W43-Z43</f>
        <v>-7906965.7239940995</v>
      </c>
      <c r="AA44" s="127" t="s">
        <v>54</v>
      </c>
    </row>
    <row r="45" spans="1:38" x14ac:dyDescent="0.25">
      <c r="A45" s="141" t="s">
        <v>320</v>
      </c>
      <c r="B45" s="180">
        <v>1681.1000000000001</v>
      </c>
      <c r="C45" s="181">
        <v>658636.00000008603</v>
      </c>
      <c r="D45" s="181">
        <v>620795.00000008603</v>
      </c>
      <c r="E45" s="182">
        <v>8379.8000000007196</v>
      </c>
      <c r="F45" s="183">
        <v>11.29</v>
      </c>
      <c r="G45" s="183">
        <v>0.04</v>
      </c>
      <c r="H45" s="184">
        <v>11.25</v>
      </c>
      <c r="I45" s="181">
        <v>8713.593750001548</v>
      </c>
      <c r="J45" s="185">
        <v>60</v>
      </c>
      <c r="K45" s="186">
        <v>0</v>
      </c>
      <c r="L45" s="185">
        <v>0</v>
      </c>
      <c r="M45" s="195">
        <v>3311</v>
      </c>
      <c r="N45" s="188">
        <v>0</v>
      </c>
      <c r="O45" s="188">
        <v>103469</v>
      </c>
      <c r="P45" s="185">
        <v>0</v>
      </c>
      <c r="Q45" s="189">
        <v>109463.90809821076</v>
      </c>
      <c r="R45" s="190">
        <v>511331.09190187528</v>
      </c>
      <c r="S45" s="191"/>
      <c r="T45" s="196">
        <f>(E43*H45/12)</f>
        <v>8713.593750001548</v>
      </c>
      <c r="U45" s="196">
        <f>(T45*(R43/D43))</f>
        <v>7359.4330230911219</v>
      </c>
      <c r="V45" s="193">
        <v>74.950133430969458</v>
      </c>
      <c r="W45" s="181">
        <f>($R43+$N45-$O45-$P45+$M45-$U45)</f>
        <v>511331.09190187528</v>
      </c>
      <c r="X45" s="198">
        <f>'[1]2020 T0'!J$328*60*60*24/43560*'[1]2020 T0'!J$10+'[1]2020 T0'!J$228+'[1]2020 T0'!J$329</f>
        <v>2793997.8340769913</v>
      </c>
      <c r="Y45" s="198">
        <f>X45+X47</f>
        <v>5709342.8048677696</v>
      </c>
      <c r="Z45" s="198">
        <f>X45+X47+X49</f>
        <v>10034789.164906057</v>
      </c>
      <c r="AA45" s="199"/>
    </row>
    <row r="46" spans="1:38" x14ac:dyDescent="0.25">
      <c r="A46" s="141"/>
      <c r="B46" s="180"/>
      <c r="C46" s="181" t="s">
        <v>278</v>
      </c>
      <c r="D46" s="181" t="s">
        <v>278</v>
      </c>
      <c r="E46" s="182" t="s">
        <v>278</v>
      </c>
      <c r="F46" s="183"/>
      <c r="G46" s="183"/>
      <c r="H46" s="184" t="s">
        <v>278</v>
      </c>
      <c r="I46" s="181"/>
      <c r="J46" s="185"/>
      <c r="K46" s="186"/>
      <c r="L46" s="185"/>
      <c r="M46" s="195"/>
      <c r="N46" s="188"/>
      <c r="O46" s="188"/>
      <c r="P46" s="185"/>
      <c r="Q46" s="189"/>
      <c r="R46" s="190"/>
      <c r="S46" s="191"/>
      <c r="T46" s="196"/>
      <c r="U46" s="196"/>
      <c r="V46" s="193"/>
      <c r="X46" s="200">
        <f>W45-X45</f>
        <v>-2282666.7421751162</v>
      </c>
      <c r="Y46" s="200">
        <f>W45-Y45</f>
        <v>-5198011.7129658945</v>
      </c>
      <c r="Z46" s="200">
        <f>W45-Z45</f>
        <v>-9523458.0730041806</v>
      </c>
      <c r="AA46" s="199" t="s">
        <v>68</v>
      </c>
    </row>
    <row r="47" spans="1:38" x14ac:dyDescent="0.25">
      <c r="A47" s="141" t="s">
        <v>321</v>
      </c>
      <c r="B47" s="180">
        <v>1671.6699725311105</v>
      </c>
      <c r="C47" s="181">
        <v>582373.50530315947</v>
      </c>
      <c r="D47" s="181">
        <v>544532.50530315947</v>
      </c>
      <c r="E47" s="182">
        <v>7810.1884342732974</v>
      </c>
      <c r="F47" s="183">
        <v>7.36</v>
      </c>
      <c r="G47" s="183">
        <v>4.82</v>
      </c>
      <c r="H47" s="184">
        <v>2.54</v>
      </c>
      <c r="I47" s="181">
        <v>1773.7243333334857</v>
      </c>
      <c r="J47" s="185">
        <v>62</v>
      </c>
      <c r="K47" s="186">
        <v>6586</v>
      </c>
      <c r="L47" s="185">
        <v>0</v>
      </c>
      <c r="M47" s="195">
        <v>1027</v>
      </c>
      <c r="N47" s="188">
        <v>998</v>
      </c>
      <c r="O47" s="188">
        <v>80046</v>
      </c>
      <c r="P47" s="185">
        <v>0</v>
      </c>
      <c r="Q47" s="189">
        <v>112683.37942081754</v>
      </c>
      <c r="R47" s="190">
        <v>431849.12588234193</v>
      </c>
      <c r="S47" s="191"/>
      <c r="T47" s="196">
        <f>(E45*H47/12)</f>
        <v>1773.7243333334857</v>
      </c>
      <c r="U47" s="196">
        <f>(T47*(R45/D45))</f>
        <v>1460.9660195333586</v>
      </c>
      <c r="V47" s="193">
        <v>-1786.2764998754321</v>
      </c>
      <c r="W47" s="181">
        <f>($R45+$N47-$O47-$P47+$M47-$U47)</f>
        <v>431849.12588234193</v>
      </c>
      <c r="X47" s="194">
        <f>'[1]2020 T0'!K$328*60*60*24/43560*'[1]2020 T0'!K$10+'[1]2020 T0'!K$228+'[1]2020 T0'!K$329</f>
        <v>2915344.9707907783</v>
      </c>
      <c r="Y47" s="194">
        <f>X47+X49</f>
        <v>7240791.3308290653</v>
      </c>
      <c r="Z47" s="194">
        <f>X47+X49+X51</f>
        <v>13321863.529664461</v>
      </c>
    </row>
    <row r="48" spans="1:38" x14ac:dyDescent="0.25">
      <c r="A48" s="141"/>
      <c r="B48" s="180"/>
      <c r="C48" s="181" t="s">
        <v>278</v>
      </c>
      <c r="D48" s="181" t="s">
        <v>278</v>
      </c>
      <c r="E48" s="182" t="s">
        <v>278</v>
      </c>
      <c r="F48" s="183"/>
      <c r="G48" s="183"/>
      <c r="H48" s="184" t="s">
        <v>278</v>
      </c>
      <c r="I48" s="181"/>
      <c r="J48" s="185"/>
      <c r="K48" s="186"/>
      <c r="L48" s="185"/>
      <c r="M48" s="195"/>
      <c r="N48" s="188"/>
      <c r="O48" s="188"/>
      <c r="P48" s="185"/>
      <c r="Q48" s="189"/>
      <c r="R48" s="190"/>
      <c r="S48" s="191"/>
      <c r="T48" s="196"/>
      <c r="U48" s="196"/>
      <c r="V48" s="193"/>
      <c r="X48" s="197">
        <f>W47-X47</f>
        <v>-2483495.8449084363</v>
      </c>
      <c r="Y48" s="197">
        <f>W47-Y47</f>
        <v>-6808942.2049467238</v>
      </c>
      <c r="Z48" s="197">
        <f>W47-Z47</f>
        <v>-12890014.403782118</v>
      </c>
      <c r="AA48" s="127" t="s">
        <v>69</v>
      </c>
    </row>
    <row r="49" spans="1:27" x14ac:dyDescent="0.25">
      <c r="A49" s="141" t="s">
        <v>322</v>
      </c>
      <c r="B49" s="180">
        <v>1661.2798188452823</v>
      </c>
      <c r="C49" s="181">
        <v>504327.73242545308</v>
      </c>
      <c r="D49" s="181">
        <v>466486.73242545308</v>
      </c>
      <c r="E49" s="182">
        <v>7220.1102176467921</v>
      </c>
      <c r="F49" s="183">
        <v>5.91</v>
      </c>
      <c r="G49" s="183">
        <v>2.88</v>
      </c>
      <c r="H49" s="184">
        <v>3.0300000000000002</v>
      </c>
      <c r="I49" s="181">
        <v>1972.0725796540075</v>
      </c>
      <c r="J49" s="185">
        <v>62</v>
      </c>
      <c r="K49" s="186">
        <v>594</v>
      </c>
      <c r="L49" s="185">
        <v>0</v>
      </c>
      <c r="M49" s="195">
        <v>1135</v>
      </c>
      <c r="N49" s="188">
        <v>0</v>
      </c>
      <c r="O49" s="188">
        <v>76446</v>
      </c>
      <c r="P49" s="185">
        <v>0</v>
      </c>
      <c r="Q49" s="189">
        <v>111512.58630815014</v>
      </c>
      <c r="R49" s="190">
        <v>354974.14611730294</v>
      </c>
      <c r="S49" s="191"/>
      <c r="T49" s="196">
        <f>(E47*H49/12)</f>
        <v>1972.0725796540075</v>
      </c>
      <c r="U49" s="196">
        <f>(T49*(R47/D47))</f>
        <v>1563.9797650389723</v>
      </c>
      <c r="V49" s="193">
        <v>219.50124977964879</v>
      </c>
      <c r="W49" s="181">
        <f>($R47+$N49-$O49-$P49+$M49-$U49)</f>
        <v>354974.14611730294</v>
      </c>
      <c r="X49" s="198">
        <f>'[1]2020 T0'!L$328*60*60*24/43560*'[1]2020 T0'!L$10+'[1]2020 T0'!L$228+'[1]2020 T0'!L$329</f>
        <v>4325446.360038287</v>
      </c>
      <c r="Y49" s="198">
        <f>X49+X51</f>
        <v>10406518.558873683</v>
      </c>
      <c r="Z49" s="198">
        <f>X49+X51+X53</f>
        <v>15981309.486857967</v>
      </c>
      <c r="AA49" s="199"/>
    </row>
    <row r="50" spans="1:27" x14ac:dyDescent="0.25">
      <c r="A50" s="141"/>
      <c r="B50" s="180"/>
      <c r="C50" s="181" t="s">
        <v>278</v>
      </c>
      <c r="D50" s="181" t="s">
        <v>278</v>
      </c>
      <c r="E50" s="182" t="s">
        <v>278</v>
      </c>
      <c r="F50" s="183"/>
      <c r="G50" s="183"/>
      <c r="H50" s="184" t="s">
        <v>278</v>
      </c>
      <c r="I50" s="181"/>
      <c r="J50" s="185"/>
      <c r="K50" s="186"/>
      <c r="L50" s="185"/>
      <c r="M50" s="195"/>
      <c r="N50" s="188"/>
      <c r="O50" s="188"/>
      <c r="P50" s="185"/>
      <c r="Q50" s="189"/>
      <c r="R50" s="190"/>
      <c r="S50" s="191"/>
      <c r="T50" s="196"/>
      <c r="U50" s="196"/>
      <c r="V50" s="193"/>
      <c r="X50" s="200">
        <f>W49-X49</f>
        <v>-3970472.213920984</v>
      </c>
      <c r="Y50" s="200">
        <f>W49-Y49</f>
        <v>-10051544.41275638</v>
      </c>
      <c r="Z50" s="200">
        <f>W49-Z49</f>
        <v>-15626335.340740664</v>
      </c>
      <c r="AA50" s="199" t="s">
        <v>70</v>
      </c>
    </row>
    <row r="51" spans="1:27" x14ac:dyDescent="0.25">
      <c r="A51" s="141" t="s">
        <v>323</v>
      </c>
      <c r="B51" s="180">
        <v>1659.68</v>
      </c>
      <c r="C51" s="181">
        <v>492848.12000019295</v>
      </c>
      <c r="D51" s="181">
        <v>455007.12000019295</v>
      </c>
      <c r="E51" s="182">
        <v>7130.8000000016409</v>
      </c>
      <c r="F51" s="183">
        <v>7.16</v>
      </c>
      <c r="G51" s="183">
        <v>0.6</v>
      </c>
      <c r="H51" s="184">
        <v>6.5600000000000005</v>
      </c>
      <c r="I51" s="181">
        <v>3946.9935856469133</v>
      </c>
      <c r="J51" s="185">
        <v>60</v>
      </c>
      <c r="K51" s="186">
        <v>200</v>
      </c>
      <c r="L51" s="185">
        <v>0</v>
      </c>
      <c r="M51" s="195">
        <v>2911</v>
      </c>
      <c r="N51" s="188">
        <v>608</v>
      </c>
      <c r="O51" s="188">
        <v>8333</v>
      </c>
      <c r="P51" s="185">
        <v>0</v>
      </c>
      <c r="Q51" s="189">
        <v>107850.44768054917</v>
      </c>
      <c r="R51" s="190">
        <v>347156.67231964378</v>
      </c>
      <c r="S51" s="191"/>
      <c r="T51" s="196">
        <f>(E49*H51/12)</f>
        <v>3946.9935856469133</v>
      </c>
      <c r="U51" s="196">
        <f>(T51*(R49/D49))</f>
        <v>3003.4737976591532</v>
      </c>
      <c r="V51" s="193">
        <v>-3604.7200000471057</v>
      </c>
      <c r="W51" s="181">
        <f>($R49+$N51-$O51-$P51+$M51-$U51)</f>
        <v>347156.67231964378</v>
      </c>
      <c r="X51" s="194">
        <f>'[1]2020 T0'!N$328*60*60*24/43560*'[1]2020 T0'!N$10+'[1]2020 T0'!N$228+'[1]2020 T0'!N$329</f>
        <v>6081072.1988353953</v>
      </c>
      <c r="Y51" s="194">
        <f>X51+X53</f>
        <v>11655863.12681968</v>
      </c>
      <c r="Z51" s="194">
        <f>X51+X53+X55</f>
        <v>17783186.236353893</v>
      </c>
    </row>
    <row r="52" spans="1:27" x14ac:dyDescent="0.25">
      <c r="A52" s="141"/>
      <c r="B52" s="180"/>
      <c r="C52" s="181" t="s">
        <v>278</v>
      </c>
      <c r="D52" s="181" t="s">
        <v>278</v>
      </c>
      <c r="E52" s="182" t="s">
        <v>278</v>
      </c>
      <c r="F52" s="183"/>
      <c r="G52" s="183"/>
      <c r="H52" s="184" t="s">
        <v>278</v>
      </c>
      <c r="I52" s="181"/>
      <c r="J52" s="185"/>
      <c r="K52" s="186"/>
      <c r="L52" s="185"/>
      <c r="M52" s="195"/>
      <c r="N52" s="188"/>
      <c r="O52" s="188"/>
      <c r="P52" s="185"/>
      <c r="Q52" s="189"/>
      <c r="R52" s="190"/>
      <c r="S52" s="191"/>
      <c r="T52" s="196"/>
      <c r="U52" s="196"/>
      <c r="V52" s="193"/>
      <c r="X52" s="197">
        <f>W51-X51</f>
        <v>-5733915.5265157511</v>
      </c>
      <c r="Y52" s="197">
        <f>W51-Y51</f>
        <v>-11308706.454500036</v>
      </c>
      <c r="Z52" s="197">
        <f>W51-Z51</f>
        <v>-17436029.56403425</v>
      </c>
      <c r="AA52" s="127" t="s">
        <v>71</v>
      </c>
    </row>
    <row r="53" spans="1:27" x14ac:dyDescent="0.25">
      <c r="A53" s="141" t="s">
        <v>324</v>
      </c>
      <c r="B53" s="180">
        <v>1666.1201789843401</v>
      </c>
      <c r="C53" s="181">
        <v>539916.86166685913</v>
      </c>
      <c r="D53" s="181">
        <v>502075.86166685913</v>
      </c>
      <c r="E53" s="182">
        <v>7488.2107390623978</v>
      </c>
      <c r="F53" s="183">
        <v>3.5</v>
      </c>
      <c r="G53" s="183">
        <v>0.25</v>
      </c>
      <c r="H53" s="184">
        <v>3.25</v>
      </c>
      <c r="I53" s="181">
        <v>1931.2583333337777</v>
      </c>
      <c r="J53" s="185">
        <v>62</v>
      </c>
      <c r="K53" s="186">
        <v>2000</v>
      </c>
      <c r="L53" s="185">
        <v>0</v>
      </c>
      <c r="M53" s="195">
        <v>2881</v>
      </c>
      <c r="N53" s="188">
        <v>47000</v>
      </c>
      <c r="O53" s="188">
        <v>0</v>
      </c>
      <c r="P53" s="185">
        <v>0</v>
      </c>
      <c r="Q53" s="189">
        <v>106511.68105079449</v>
      </c>
      <c r="R53" s="190">
        <v>395564.18061606464</v>
      </c>
      <c r="S53" s="191"/>
      <c r="T53" s="196">
        <f>(E51*H53/12)</f>
        <v>1931.2583333337777</v>
      </c>
      <c r="U53" s="196">
        <f>(T53*(R51/D51))</f>
        <v>1473.4917035791689</v>
      </c>
      <c r="V53" s="193">
        <v>2485.2543143836278</v>
      </c>
      <c r="W53" s="181">
        <f>($R51+$N53-$O53-$P53+$M53-$U53)</f>
        <v>395564.18061606464</v>
      </c>
      <c r="X53" s="198">
        <f>'[1]2020 T0'!O$328*60*60*24/43560*'[1]2020 T0'!O$10+'[1]2020 T0'!O$228+'[1]2020 T0'!O$329</f>
        <v>5574790.9279842842</v>
      </c>
      <c r="Y53" s="198">
        <f>X53+X55</f>
        <v>11702114.037518498</v>
      </c>
      <c r="Z53" s="198">
        <f>X53+X55+X57</f>
        <v>11759898.831119478</v>
      </c>
      <c r="AA53" s="199"/>
    </row>
    <row r="54" spans="1:27" x14ac:dyDescent="0.25">
      <c r="A54" s="141"/>
      <c r="B54" s="180"/>
      <c r="C54" s="181" t="s">
        <v>278</v>
      </c>
      <c r="D54" s="181" t="s">
        <v>278</v>
      </c>
      <c r="E54" s="182" t="s">
        <v>278</v>
      </c>
      <c r="F54" s="183"/>
      <c r="G54" s="183"/>
      <c r="H54" s="184" t="s">
        <v>278</v>
      </c>
      <c r="I54" s="181"/>
      <c r="J54" s="185"/>
      <c r="K54" s="186"/>
      <c r="L54" s="185"/>
      <c r="M54" s="195"/>
      <c r="N54" s="188"/>
      <c r="O54" s="188"/>
      <c r="P54" s="185"/>
      <c r="Q54" s="189"/>
      <c r="R54" s="190"/>
      <c r="S54" s="191"/>
      <c r="T54" s="135"/>
      <c r="U54" s="196"/>
      <c r="V54" s="193" t="s">
        <v>278</v>
      </c>
      <c r="X54" s="200">
        <f>W53-X53</f>
        <v>-5179226.7473682193</v>
      </c>
      <c r="Y54" s="200">
        <f>W53-Y53</f>
        <v>-11306549.856902434</v>
      </c>
      <c r="Z54" s="200">
        <f>W53-Z53</f>
        <v>-11364334.650503414</v>
      </c>
      <c r="AA54" s="199" t="s">
        <v>72</v>
      </c>
    </row>
    <row r="55" spans="1:27" x14ac:dyDescent="0.25">
      <c r="A55" s="141" t="s">
        <v>325</v>
      </c>
      <c r="B55" s="180">
        <v>1674.5115454492184</v>
      </c>
      <c r="C55" s="181">
        <v>604795.20195745816</v>
      </c>
      <c r="D55" s="181">
        <v>566954.20195745816</v>
      </c>
      <c r="E55" s="182">
        <v>7972.1580906054478</v>
      </c>
      <c r="F55" s="183">
        <v>4</v>
      </c>
      <c r="G55" s="183">
        <v>0.6</v>
      </c>
      <c r="H55" s="184">
        <v>3.4</v>
      </c>
      <c r="I55" s="181">
        <v>2121.6597094010126</v>
      </c>
      <c r="J55" s="185">
        <v>60</v>
      </c>
      <c r="K55" s="186">
        <v>2000</v>
      </c>
      <c r="L55" s="185">
        <v>0</v>
      </c>
      <c r="M55" s="195">
        <v>3310</v>
      </c>
      <c r="N55" s="188">
        <v>65000</v>
      </c>
      <c r="O55" s="188">
        <v>0</v>
      </c>
      <c r="P55" s="185">
        <v>0</v>
      </c>
      <c r="Q55" s="189">
        <v>104751.58663375606</v>
      </c>
      <c r="R55" s="190">
        <v>462202.61532370211</v>
      </c>
      <c r="S55" s="191"/>
      <c r="T55" s="196">
        <f>(E53*H55/12)</f>
        <v>2121.6597094010126</v>
      </c>
      <c r="U55" s="196">
        <f>(T55*(R53/D53))</f>
        <v>1671.5652923625237</v>
      </c>
      <c r="V55" s="193">
        <v>6822.97587711302</v>
      </c>
      <c r="W55" s="181">
        <f>($R53+$N55-$O55-$P55+$M55-$U55)</f>
        <v>462202.61532370211</v>
      </c>
      <c r="X55" s="194">
        <f>'[1]2020 T0'!P$328*60*60*24/43560*'[1]2020 T0'!P$10+'[1]2020 T0'!P$228+'[1]2020 T0'!P$329</f>
        <v>6127323.1095342124</v>
      </c>
      <c r="Y55" s="194">
        <f>X55+X57</f>
        <v>6185107.9031351926</v>
      </c>
      <c r="Z55" s="194">
        <f>X55+X57+X59</f>
        <v>6251551.8430584241</v>
      </c>
    </row>
    <row r="56" spans="1:27" x14ac:dyDescent="0.25">
      <c r="A56" s="141"/>
      <c r="B56" s="180"/>
      <c r="C56" s="181" t="s">
        <v>278</v>
      </c>
      <c r="D56" s="181" t="s">
        <v>278</v>
      </c>
      <c r="E56" s="182" t="s">
        <v>278</v>
      </c>
      <c r="F56" s="183"/>
      <c r="G56" s="183"/>
      <c r="H56" s="184" t="s">
        <v>278</v>
      </c>
      <c r="I56" s="181"/>
      <c r="J56" s="185"/>
      <c r="K56" s="186"/>
      <c r="L56" s="185"/>
      <c r="M56" s="195"/>
      <c r="N56" s="188"/>
      <c r="O56" s="188"/>
      <c r="P56" s="185"/>
      <c r="Q56" s="189"/>
      <c r="R56" s="190"/>
      <c r="S56" s="191"/>
      <c r="T56" s="196"/>
      <c r="U56" s="196"/>
      <c r="V56" s="193"/>
      <c r="X56" s="197">
        <f>W55-X55</f>
        <v>-5665120.4942105105</v>
      </c>
      <c r="Y56" s="197">
        <f>W55-Y55</f>
        <v>-5722905.2878114907</v>
      </c>
      <c r="Z56" s="197">
        <f>W55-Z55</f>
        <v>-5789349.2277347222</v>
      </c>
      <c r="AA56" s="127" t="s">
        <v>73</v>
      </c>
    </row>
    <row r="57" spans="1:27" x14ac:dyDescent="0.25">
      <c r="A57" s="141" t="s">
        <v>326</v>
      </c>
      <c r="B57" s="180">
        <v>1676.0048921424359</v>
      </c>
      <c r="C57" s="181">
        <v>616766.50894235726</v>
      </c>
      <c r="D57" s="181">
        <v>578925.50894235726</v>
      </c>
      <c r="E57" s="182">
        <v>8061.2984206889505</v>
      </c>
      <c r="F57" s="183">
        <v>3</v>
      </c>
      <c r="G57" s="183">
        <v>1</v>
      </c>
      <c r="H57" s="184">
        <v>2</v>
      </c>
      <c r="I57" s="181">
        <v>1328.693015100908</v>
      </c>
      <c r="J57" s="185">
        <v>62</v>
      </c>
      <c r="K57" s="186">
        <v>2300</v>
      </c>
      <c r="L57" s="185">
        <v>0</v>
      </c>
      <c r="M57" s="195">
        <v>941</v>
      </c>
      <c r="N57" s="188">
        <v>11000</v>
      </c>
      <c r="O57" s="188">
        <v>0</v>
      </c>
      <c r="P57" s="185">
        <v>0</v>
      </c>
      <c r="Q57" s="189">
        <v>105865.09466809029</v>
      </c>
      <c r="R57" s="190">
        <v>473060.41427426698</v>
      </c>
      <c r="S57" s="191"/>
      <c r="T57" s="196">
        <f>(E55*H57/12)</f>
        <v>1328.693015100908</v>
      </c>
      <c r="U57" s="196">
        <f>(T57*(R55/D55))</f>
        <v>1083.2010494351293</v>
      </c>
      <c r="V57" s="193">
        <v>13216.479466650486</v>
      </c>
      <c r="W57" s="181">
        <f>($R55+$N57-$O57-$P57+$M57-$U57)</f>
        <v>473060.41427426698</v>
      </c>
      <c r="X57" s="198">
        <f>'[1]2021 T0 (2020 FC)'!B$323*60*60*24/43560*'[1]2021 T0 (2020 FC)'!B$10+'[1]2021 T0 (2020 FC)'!B$225+'[1]2021 T0 (2020 FC)'!B$324</f>
        <v>57784.793600980229</v>
      </c>
      <c r="Y57" s="198">
        <f>X57+X59</f>
        <v>124228.733524212</v>
      </c>
      <c r="Z57" s="198">
        <f>X57+X59+X61</f>
        <v>214781.58503894677</v>
      </c>
      <c r="AA57" s="199"/>
    </row>
    <row r="58" spans="1:27" ht="13.8" thickBot="1" x14ac:dyDescent="0.3">
      <c r="A58" s="201"/>
      <c r="B58" s="202"/>
      <c r="C58" s="181" t="s">
        <v>278</v>
      </c>
      <c r="D58" s="181"/>
      <c r="E58" s="189"/>
      <c r="F58" s="203" t="s">
        <v>278</v>
      </c>
      <c r="G58" s="203" t="s">
        <v>278</v>
      </c>
      <c r="H58" s="184" t="s">
        <v>278</v>
      </c>
      <c r="I58" s="181" t="s">
        <v>278</v>
      </c>
      <c r="J58" s="181"/>
      <c r="K58" s="204" t="s">
        <v>278</v>
      </c>
      <c r="L58" s="205" t="s">
        <v>278</v>
      </c>
      <c r="M58" s="206"/>
      <c r="N58" s="181" t="s">
        <v>278</v>
      </c>
      <c r="O58" s="181" t="s">
        <v>278</v>
      </c>
      <c r="P58" s="181" t="s">
        <v>278</v>
      </c>
      <c r="Q58" s="189"/>
      <c r="R58" s="190"/>
      <c r="S58" s="191"/>
      <c r="T58" s="196" t="s">
        <v>278</v>
      </c>
      <c r="U58" s="196" t="s">
        <v>278</v>
      </c>
      <c r="V58" s="135" t="s">
        <v>278</v>
      </c>
      <c r="X58" s="200">
        <f>W57-X57</f>
        <v>415275.62067328673</v>
      </c>
      <c r="Y58" s="200">
        <f>W57-Y57</f>
        <v>348831.68075005501</v>
      </c>
      <c r="Z58" s="200">
        <f>W57-Z57</f>
        <v>258278.82923532021</v>
      </c>
      <c r="AA58" s="199" t="s">
        <v>74</v>
      </c>
    </row>
    <row r="59" spans="1:27" x14ac:dyDescent="0.25">
      <c r="A59" s="141"/>
      <c r="B59" s="178"/>
      <c r="C59" s="178"/>
      <c r="D59" s="178"/>
      <c r="E59" s="178"/>
      <c r="F59" s="178"/>
      <c r="G59" s="178"/>
      <c r="H59" s="178"/>
      <c r="I59" s="178"/>
      <c r="J59" s="178"/>
      <c r="K59" s="178"/>
      <c r="L59" s="178"/>
      <c r="M59" s="178"/>
      <c r="N59" s="178"/>
      <c r="O59" s="178"/>
      <c r="P59" s="178"/>
      <c r="Q59" s="178"/>
      <c r="R59" s="207"/>
      <c r="S59" s="140"/>
      <c r="T59" s="135"/>
      <c r="U59" s="135"/>
      <c r="V59" s="135"/>
      <c r="X59" s="208">
        <f>'[1]2021 T0 (2020 FC)'!C$323*60*60*24/43560*'[1]2021 T0 (2020 FC)'!C$10+'[1]2021 T0 (2020 FC)'!C$225+'[1]2021 T0 (2020 FC)'!C$324</f>
        <v>66443.939923231766</v>
      </c>
    </row>
    <row r="60" spans="1:27" x14ac:dyDescent="0.25">
      <c r="A60" s="141" t="s">
        <v>327</v>
      </c>
      <c r="B60" s="142"/>
      <c r="C60" s="142"/>
      <c r="D60" s="142"/>
      <c r="E60" s="142"/>
      <c r="F60" s="142">
        <f t="shared" ref="F60:P60" si="0">SUM(F35:F57)</f>
        <v>72.389999999999986</v>
      </c>
      <c r="G60" s="142">
        <f t="shared" si="0"/>
        <v>12.51</v>
      </c>
      <c r="H60" s="142">
        <f t="shared" si="0"/>
        <v>59.879999999999995</v>
      </c>
      <c r="I60" s="181">
        <f t="shared" si="0"/>
        <v>43496.642415923874</v>
      </c>
      <c r="J60" s="181">
        <f t="shared" si="0"/>
        <v>730</v>
      </c>
      <c r="K60" s="181">
        <f t="shared" si="0"/>
        <v>13870</v>
      </c>
      <c r="L60" s="181">
        <f t="shared" si="0"/>
        <v>597</v>
      </c>
      <c r="M60" s="181">
        <f t="shared" si="0"/>
        <v>25947</v>
      </c>
      <c r="N60" s="181">
        <f t="shared" si="0"/>
        <v>267098</v>
      </c>
      <c r="O60" s="181">
        <f t="shared" si="0"/>
        <v>286488</v>
      </c>
      <c r="P60" s="181">
        <f t="shared" si="0"/>
        <v>0</v>
      </c>
      <c r="Q60" s="181"/>
      <c r="R60" s="190"/>
      <c r="S60" s="191"/>
      <c r="T60" s="196">
        <f>SUM(T35:T57)</f>
        <v>43548.547083331941</v>
      </c>
      <c r="U60" s="196">
        <f>SUM(U35:U57)</f>
        <v>35763.2646384131</v>
      </c>
      <c r="V60" s="196">
        <f>SUM(V35:V57)</f>
        <v>36060.27250248973</v>
      </c>
    </row>
    <row r="61" spans="1:27" ht="13.8" thickBot="1" x14ac:dyDescent="0.3">
      <c r="A61" s="209"/>
      <c r="B61" s="210"/>
      <c r="C61" s="210"/>
      <c r="D61" s="210"/>
      <c r="E61" s="210"/>
      <c r="F61" s="210"/>
      <c r="G61" s="210"/>
      <c r="H61" s="210"/>
      <c r="I61" s="210"/>
      <c r="J61" s="210"/>
      <c r="K61" s="210"/>
      <c r="L61" s="210"/>
      <c r="M61" s="210"/>
      <c r="N61" s="210"/>
      <c r="O61" s="210"/>
      <c r="P61" s="210"/>
      <c r="Q61" s="210"/>
      <c r="R61" s="211"/>
      <c r="S61" s="140"/>
      <c r="T61" s="196"/>
      <c r="U61" s="135"/>
      <c r="V61" s="196"/>
      <c r="X61" s="212">
        <f>'[1]2021 T0 (2020 FC)'!D$323*60*60*24/43560*'[1]2021 T0 (2020 FC)'!D$10+'[1]2021 T0 (2020 FC)'!D$225+'[1]2021 T0 (2020 FC)'!D$324</f>
        <v>90552.851514734764</v>
      </c>
    </row>
    <row r="62" spans="1:27" ht="13.8" thickTop="1" x14ac:dyDescent="0.25">
      <c r="T62" s="135"/>
      <c r="U62" s="135"/>
      <c r="V62" s="135"/>
    </row>
    <row r="63" spans="1:27" x14ac:dyDescent="0.25">
      <c r="A63" s="135" t="s">
        <v>328</v>
      </c>
      <c r="B63" s="135"/>
      <c r="C63" s="135"/>
      <c r="D63" s="135"/>
      <c r="E63" s="135"/>
      <c r="F63" s="135"/>
      <c r="G63" s="135"/>
      <c r="H63" s="135"/>
      <c r="I63" s="135"/>
      <c r="J63" s="135"/>
      <c r="K63" s="135"/>
      <c r="L63" s="135"/>
      <c r="M63" s="135"/>
      <c r="N63" s="135"/>
      <c r="O63" s="135"/>
      <c r="P63" s="135"/>
      <c r="Q63" s="135"/>
      <c r="R63" s="135"/>
      <c r="S63" s="136"/>
      <c r="T63" s="135"/>
      <c r="U63" s="135"/>
      <c r="V63" s="135"/>
    </row>
    <row r="64" spans="1:27" x14ac:dyDescent="0.25">
      <c r="A64" s="135" t="s">
        <v>329</v>
      </c>
      <c r="B64" s="135"/>
      <c r="C64" s="135"/>
      <c r="D64" s="135"/>
      <c r="E64" s="135"/>
      <c r="F64" s="135"/>
      <c r="G64" s="135"/>
      <c r="H64" s="135"/>
      <c r="I64" s="135"/>
      <c r="J64" s="135"/>
      <c r="K64" s="135"/>
      <c r="L64" s="135"/>
      <c r="M64" s="135"/>
      <c r="N64" s="135"/>
      <c r="O64" s="135"/>
      <c r="P64" s="135"/>
      <c r="Q64" s="135"/>
      <c r="R64" s="135"/>
      <c r="S64" s="136"/>
      <c r="T64" s="135"/>
      <c r="U64" s="135"/>
      <c r="V64" s="135"/>
    </row>
    <row r="65" spans="1:26" x14ac:dyDescent="0.25">
      <c r="A65" s="135"/>
      <c r="B65" s="135"/>
      <c r="C65" s="135"/>
      <c r="D65" s="135"/>
      <c r="E65" s="135"/>
      <c r="F65" s="135"/>
      <c r="G65" s="135"/>
      <c r="H65" s="135"/>
      <c r="I65" s="135"/>
      <c r="J65" s="135"/>
      <c r="K65" s="135"/>
      <c r="L65" s="135"/>
      <c r="M65" s="135"/>
      <c r="N65" s="135"/>
      <c r="O65" s="135"/>
      <c r="P65" s="135"/>
      <c r="Q65" s="135"/>
      <c r="R65" s="135"/>
      <c r="S65" s="136"/>
      <c r="T65" s="135"/>
      <c r="U65" s="135"/>
      <c r="V65" s="135"/>
    </row>
    <row r="66" spans="1:26" x14ac:dyDescent="0.25">
      <c r="A66" s="135" t="s">
        <v>330</v>
      </c>
      <c r="B66" s="135"/>
      <c r="C66" s="135"/>
      <c r="D66" s="135"/>
      <c r="E66" s="135"/>
      <c r="F66" s="135"/>
      <c r="G66" s="135"/>
      <c r="H66" s="135"/>
      <c r="I66" s="135"/>
      <c r="J66" s="135"/>
      <c r="K66" s="135"/>
      <c r="L66" s="135"/>
      <c r="M66" s="135"/>
      <c r="N66" s="135"/>
      <c r="O66" s="135"/>
      <c r="P66" s="135"/>
      <c r="Q66" s="135"/>
      <c r="R66" s="135"/>
      <c r="S66" s="136"/>
      <c r="T66" s="135"/>
      <c r="U66" s="135"/>
      <c r="V66" s="135"/>
    </row>
    <row r="67" spans="1:26" ht="13.8" thickBot="1" x14ac:dyDescent="0.3"/>
    <row r="68" spans="1:26" ht="13.8" thickTop="1" x14ac:dyDescent="0.25">
      <c r="A68" s="137"/>
      <c r="B68" s="138"/>
      <c r="C68" s="138"/>
      <c r="D68" s="138"/>
      <c r="E68" s="138"/>
      <c r="F68" s="138"/>
      <c r="G68" s="138"/>
      <c r="H68" s="138"/>
      <c r="I68" s="138"/>
      <c r="J68" s="138"/>
      <c r="K68" s="138"/>
      <c r="L68" s="138"/>
      <c r="M68" s="138"/>
      <c r="N68" s="138"/>
      <c r="O68" s="138"/>
      <c r="P68" s="138"/>
      <c r="Q68" s="138"/>
      <c r="R68" s="139"/>
      <c r="S68" s="140"/>
      <c r="T68" s="135"/>
      <c r="U68" s="135"/>
      <c r="V68" s="135"/>
    </row>
    <row r="69" spans="1:26" x14ac:dyDescent="0.25">
      <c r="A69" s="141"/>
      <c r="B69" s="142"/>
      <c r="C69" s="142"/>
      <c r="D69" s="142"/>
      <c r="E69" s="142"/>
      <c r="F69" s="142"/>
      <c r="G69" s="142"/>
      <c r="H69" s="142"/>
      <c r="I69" s="143" t="s">
        <v>261</v>
      </c>
      <c r="J69" s="142"/>
      <c r="K69" s="142"/>
      <c r="L69" s="142"/>
      <c r="M69" s="142"/>
      <c r="N69" s="142"/>
      <c r="O69" s="142"/>
      <c r="P69" s="142"/>
      <c r="Q69" s="142"/>
      <c r="R69" s="144"/>
      <c r="S69" s="140"/>
      <c r="T69" s="135"/>
      <c r="U69" s="135"/>
      <c r="V69" s="135"/>
    </row>
    <row r="70" spans="1:26" x14ac:dyDescent="0.25">
      <c r="A70" s="141"/>
      <c r="B70" s="142"/>
      <c r="C70" s="147"/>
      <c r="D70" s="142"/>
      <c r="E70" s="147"/>
      <c r="F70" s="147"/>
      <c r="G70" s="142"/>
      <c r="H70" s="143"/>
      <c r="I70" s="142"/>
      <c r="J70" s="142"/>
      <c r="K70" s="142"/>
      <c r="L70" s="142"/>
      <c r="M70" s="142"/>
      <c r="N70" s="142"/>
      <c r="O70" s="142"/>
      <c r="P70" s="142"/>
      <c r="Q70" s="142"/>
      <c r="R70" s="144"/>
      <c r="S70" s="140"/>
      <c r="T70" s="135"/>
      <c r="U70" s="135"/>
      <c r="V70" s="135"/>
    </row>
    <row r="71" spans="1:26" x14ac:dyDescent="0.25">
      <c r="A71" s="141"/>
      <c r="B71" s="142"/>
      <c r="C71" s="142"/>
      <c r="D71" s="142"/>
      <c r="F71" s="142"/>
      <c r="G71" s="142"/>
      <c r="H71" s="142"/>
      <c r="I71" s="143" t="s">
        <v>268</v>
      </c>
      <c r="J71" s="142"/>
      <c r="K71" s="142"/>
      <c r="L71" s="142"/>
      <c r="M71" s="142"/>
      <c r="N71" s="142"/>
      <c r="O71" s="142"/>
      <c r="P71" s="142"/>
      <c r="Q71" s="142"/>
      <c r="R71" s="144"/>
      <c r="S71" s="140"/>
      <c r="T71" s="135"/>
      <c r="U71" s="135"/>
      <c r="V71" s="135"/>
    </row>
    <row r="72" spans="1:26" x14ac:dyDescent="0.25">
      <c r="A72" s="141"/>
      <c r="B72" s="142"/>
      <c r="C72" s="142"/>
      <c r="D72" s="142"/>
      <c r="F72" s="142"/>
      <c r="G72" s="142"/>
      <c r="H72" s="143"/>
      <c r="I72" s="142"/>
      <c r="J72" s="142"/>
      <c r="K72" s="142"/>
      <c r="L72" s="142"/>
      <c r="M72" s="142"/>
      <c r="N72" s="142"/>
      <c r="O72" s="142"/>
      <c r="P72" s="142"/>
      <c r="Q72" s="142"/>
      <c r="R72" s="144"/>
      <c r="S72" s="140"/>
      <c r="T72" s="135"/>
      <c r="U72" s="135"/>
      <c r="V72" s="135"/>
    </row>
    <row r="73" spans="1:26" ht="12.75" customHeight="1" x14ac:dyDescent="0.25">
      <c r="A73" s="141"/>
      <c r="B73" s="142"/>
      <c r="C73" s="142"/>
      <c r="D73" s="142"/>
      <c r="F73" s="142"/>
      <c r="G73" s="142"/>
      <c r="H73" s="142"/>
      <c r="I73" s="148">
        <v>2022</v>
      </c>
      <c r="J73" s="142"/>
      <c r="K73" s="142"/>
      <c r="L73" s="142"/>
      <c r="M73" s="142"/>
      <c r="N73" s="142"/>
      <c r="O73" s="142"/>
      <c r="P73" s="142"/>
      <c r="Q73" s="142"/>
      <c r="R73" s="144"/>
      <c r="S73" s="140"/>
      <c r="T73" s="135"/>
      <c r="U73" s="135"/>
      <c r="V73" s="135"/>
    </row>
    <row r="74" spans="1:26" x14ac:dyDescent="0.25">
      <c r="A74" s="141"/>
      <c r="B74" s="142"/>
      <c r="C74" s="142"/>
      <c r="D74" s="142"/>
      <c r="F74" s="142"/>
      <c r="G74" s="142"/>
      <c r="H74" s="143"/>
      <c r="I74" s="142"/>
      <c r="J74" s="142"/>
      <c r="K74" s="142"/>
      <c r="L74" s="142"/>
      <c r="M74" s="142"/>
      <c r="N74" s="142"/>
      <c r="O74" s="142"/>
      <c r="P74" s="142"/>
      <c r="Q74" s="489" t="s">
        <v>269</v>
      </c>
      <c r="R74" s="490"/>
      <c r="S74" s="140"/>
      <c r="T74" s="135"/>
      <c r="U74" s="135"/>
      <c r="V74" s="135"/>
    </row>
    <row r="75" spans="1:26" x14ac:dyDescent="0.25">
      <c r="A75" s="141"/>
      <c r="B75" s="142"/>
      <c r="C75" s="142"/>
      <c r="D75" s="142"/>
      <c r="F75" s="142"/>
      <c r="G75" s="142"/>
      <c r="H75" s="142"/>
      <c r="I75" s="143" t="s">
        <v>271</v>
      </c>
      <c r="J75" s="142"/>
      <c r="K75" s="142"/>
      <c r="L75" s="142"/>
      <c r="M75" s="142"/>
      <c r="N75" s="142"/>
      <c r="O75" s="142"/>
      <c r="P75" s="142"/>
      <c r="Q75" s="489"/>
      <c r="R75" s="490"/>
      <c r="S75" s="140"/>
      <c r="T75" s="135"/>
      <c r="U75" s="135"/>
      <c r="V75" s="135"/>
    </row>
    <row r="76" spans="1:26" ht="13.8" thickBot="1" x14ac:dyDescent="0.3">
      <c r="A76" s="141"/>
      <c r="B76" s="142"/>
      <c r="C76" s="142"/>
      <c r="D76" s="142"/>
      <c r="F76" s="142"/>
      <c r="G76" s="142"/>
      <c r="H76" s="143"/>
      <c r="I76" s="142"/>
      <c r="J76" s="142"/>
      <c r="K76" s="142"/>
      <c r="L76" s="142"/>
      <c r="M76" s="142"/>
      <c r="N76" s="142"/>
      <c r="O76" s="142"/>
      <c r="P76" s="142"/>
      <c r="Q76" s="491"/>
      <c r="R76" s="492"/>
      <c r="S76" s="140"/>
      <c r="T76" s="135"/>
      <c r="U76" s="135"/>
      <c r="V76" s="135"/>
    </row>
    <row r="77" spans="1:26" x14ac:dyDescent="0.25">
      <c r="A77" s="149"/>
      <c r="B77" s="150" t="s">
        <v>274</v>
      </c>
      <c r="C77" s="151" t="s">
        <v>274</v>
      </c>
      <c r="D77" s="151" t="s">
        <v>274</v>
      </c>
      <c r="E77" s="150" t="s">
        <v>274</v>
      </c>
      <c r="F77" s="152"/>
      <c r="G77" s="152"/>
      <c r="H77" s="153"/>
      <c r="I77" s="152"/>
      <c r="J77" s="152"/>
      <c r="K77" s="154"/>
      <c r="L77" s="152"/>
      <c r="M77" s="153"/>
      <c r="N77" s="152"/>
      <c r="O77" s="152"/>
      <c r="P77" s="152"/>
      <c r="Q77" s="150" t="s">
        <v>274</v>
      </c>
      <c r="R77" s="155" t="s">
        <v>274</v>
      </c>
      <c r="S77" s="156"/>
      <c r="T77" s="135"/>
      <c r="U77" s="135"/>
      <c r="V77" s="135"/>
      <c r="W77" s="156" t="s">
        <v>274</v>
      </c>
      <c r="X77" s="156"/>
      <c r="Y77" s="156"/>
      <c r="Z77" s="156"/>
    </row>
    <row r="78" spans="1:26" x14ac:dyDescent="0.25">
      <c r="A78" s="158"/>
      <c r="B78" s="159"/>
      <c r="C78" s="160"/>
      <c r="D78" s="160"/>
      <c r="E78" s="159"/>
      <c r="F78" s="160"/>
      <c r="G78" s="160"/>
      <c r="H78" s="161"/>
      <c r="I78" s="160"/>
      <c r="J78" s="160"/>
      <c r="K78" s="213" t="s">
        <v>275</v>
      </c>
      <c r="L78" s="160"/>
      <c r="M78" s="163" t="s">
        <v>276</v>
      </c>
      <c r="N78" s="160"/>
      <c r="O78" s="160"/>
      <c r="P78" s="160"/>
      <c r="Q78" s="164" t="s">
        <v>276</v>
      </c>
      <c r="R78" s="165" t="s">
        <v>277</v>
      </c>
      <c r="S78" s="156"/>
      <c r="T78" s="135"/>
      <c r="U78" s="135"/>
      <c r="V78" s="166" t="s">
        <v>297</v>
      </c>
      <c r="W78" s="156" t="s">
        <v>277</v>
      </c>
      <c r="X78" s="156"/>
      <c r="Y78" s="156"/>
      <c r="Z78" s="156"/>
    </row>
    <row r="79" spans="1:26" x14ac:dyDescent="0.25">
      <c r="A79" s="158" t="s">
        <v>278</v>
      </c>
      <c r="B79" s="164" t="s">
        <v>279</v>
      </c>
      <c r="C79" s="167" t="s">
        <v>280</v>
      </c>
      <c r="D79" s="167" t="s">
        <v>281</v>
      </c>
      <c r="E79" s="164" t="s">
        <v>282</v>
      </c>
      <c r="F79" s="160"/>
      <c r="G79" s="160"/>
      <c r="H79" s="163" t="s">
        <v>283</v>
      </c>
      <c r="I79" s="167" t="s">
        <v>18</v>
      </c>
      <c r="J79" s="167" t="s">
        <v>18</v>
      </c>
      <c r="K79" s="162" t="s">
        <v>284</v>
      </c>
      <c r="L79" s="167" t="s">
        <v>276</v>
      </c>
      <c r="M79" s="163" t="s">
        <v>285</v>
      </c>
      <c r="N79" s="167" t="s">
        <v>277</v>
      </c>
      <c r="O79" s="167" t="s">
        <v>277</v>
      </c>
      <c r="P79" s="167" t="s">
        <v>286</v>
      </c>
      <c r="Q79" s="164" t="s">
        <v>287</v>
      </c>
      <c r="R79" s="165" t="s">
        <v>287</v>
      </c>
      <c r="S79" s="156"/>
      <c r="T79" s="166" t="s">
        <v>288</v>
      </c>
      <c r="U79" s="166" t="s">
        <v>277</v>
      </c>
      <c r="V79" s="166" t="s">
        <v>289</v>
      </c>
      <c r="W79" s="156" t="s">
        <v>287</v>
      </c>
      <c r="X79" s="156" t="s">
        <v>290</v>
      </c>
      <c r="Y79" s="156"/>
      <c r="Z79" s="156"/>
    </row>
    <row r="80" spans="1:26" x14ac:dyDescent="0.25">
      <c r="A80" s="168" t="s">
        <v>291</v>
      </c>
      <c r="B80" s="164" t="s">
        <v>292</v>
      </c>
      <c r="C80" s="167" t="s">
        <v>293</v>
      </c>
      <c r="D80" s="167" t="s">
        <v>293</v>
      </c>
      <c r="E80" s="164" t="s">
        <v>294</v>
      </c>
      <c r="F80" s="167" t="s">
        <v>295</v>
      </c>
      <c r="G80" s="167" t="s">
        <v>296</v>
      </c>
      <c r="H80" s="163" t="s">
        <v>295</v>
      </c>
      <c r="I80" s="167" t="s">
        <v>295</v>
      </c>
      <c r="J80" s="167" t="s">
        <v>297</v>
      </c>
      <c r="K80" s="162" t="s">
        <v>298</v>
      </c>
      <c r="L80" s="167" t="s">
        <v>299</v>
      </c>
      <c r="M80" s="163" t="s">
        <v>300</v>
      </c>
      <c r="N80" s="167" t="s">
        <v>301</v>
      </c>
      <c r="O80" s="167" t="s">
        <v>299</v>
      </c>
      <c r="P80" s="167" t="s">
        <v>302</v>
      </c>
      <c r="Q80" s="164" t="s">
        <v>303</v>
      </c>
      <c r="R80" s="165" t="s">
        <v>303</v>
      </c>
      <c r="S80" s="156"/>
      <c r="T80" s="166" t="s">
        <v>304</v>
      </c>
      <c r="U80" s="166" t="s">
        <v>304</v>
      </c>
      <c r="V80" s="166" t="s">
        <v>305</v>
      </c>
      <c r="W80" s="156" t="s">
        <v>303</v>
      </c>
      <c r="X80" s="156" t="s">
        <v>306</v>
      </c>
      <c r="Y80" s="156" t="s">
        <v>307</v>
      </c>
      <c r="Z80" s="156" t="s">
        <v>308</v>
      </c>
    </row>
    <row r="81" spans="1:28" ht="13.8" thickBot="1" x14ac:dyDescent="0.3">
      <c r="A81" s="169"/>
      <c r="B81" s="170" t="s">
        <v>309</v>
      </c>
      <c r="C81" s="171" t="s">
        <v>310</v>
      </c>
      <c r="D81" s="171" t="s">
        <v>310</v>
      </c>
      <c r="E81" s="170" t="s">
        <v>311</v>
      </c>
      <c r="F81" s="171" t="s">
        <v>312</v>
      </c>
      <c r="G81" s="171" t="s">
        <v>312</v>
      </c>
      <c r="H81" s="172" t="s">
        <v>312</v>
      </c>
      <c r="I81" s="171" t="s">
        <v>310</v>
      </c>
      <c r="J81" s="171" t="s">
        <v>310</v>
      </c>
      <c r="K81" s="173" t="s">
        <v>310</v>
      </c>
      <c r="L81" s="171" t="s">
        <v>310</v>
      </c>
      <c r="M81" s="172" t="s">
        <v>310</v>
      </c>
      <c r="N81" s="171" t="s">
        <v>310</v>
      </c>
      <c r="O81" s="171" t="s">
        <v>310</v>
      </c>
      <c r="P81" s="171" t="s">
        <v>310</v>
      </c>
      <c r="Q81" s="170" t="s">
        <v>310</v>
      </c>
      <c r="R81" s="174" t="s">
        <v>310</v>
      </c>
      <c r="S81" s="156"/>
      <c r="T81" s="166" t="s">
        <v>313</v>
      </c>
      <c r="U81" s="166" t="s">
        <v>313</v>
      </c>
      <c r="V81" s="166" t="s">
        <v>310</v>
      </c>
      <c r="W81" s="156" t="s">
        <v>310</v>
      </c>
      <c r="X81" s="156"/>
      <c r="Y81" s="156"/>
      <c r="Z81" s="156"/>
    </row>
    <row r="82" spans="1:28" x14ac:dyDescent="0.25">
      <c r="A82" s="141"/>
      <c r="B82" s="175"/>
      <c r="C82" s="142"/>
      <c r="D82" s="142"/>
      <c r="E82" s="175"/>
      <c r="F82" s="142"/>
      <c r="G82" s="142"/>
      <c r="H82" s="176"/>
      <c r="I82" s="142"/>
      <c r="J82" s="142"/>
      <c r="K82" s="177"/>
      <c r="L82" s="178"/>
      <c r="M82" s="179"/>
      <c r="N82" s="142"/>
      <c r="O82" s="142"/>
      <c r="P82" s="142"/>
      <c r="Q82" s="175"/>
      <c r="R82" s="144"/>
      <c r="S82" s="140"/>
      <c r="T82" s="135"/>
      <c r="U82" s="135"/>
      <c r="V82" s="135"/>
    </row>
    <row r="83" spans="1:28" x14ac:dyDescent="0.25">
      <c r="A83" s="141" t="s">
        <v>314</v>
      </c>
      <c r="B83" s="180">
        <v>1681.1662299347852</v>
      </c>
      <c r="C83" s="181">
        <v>659191.66915293213</v>
      </c>
      <c r="D83" s="181">
        <v>621350.66915293213</v>
      </c>
      <c r="E83" s="182">
        <v>8384.3036355661025</v>
      </c>
      <c r="F83" s="183">
        <v>3</v>
      </c>
      <c r="G83" s="183">
        <v>1.4</v>
      </c>
      <c r="H83" s="184">
        <v>1.6</v>
      </c>
      <c r="I83" s="181">
        <v>1074.8397894251934</v>
      </c>
      <c r="J83" s="185">
        <v>62</v>
      </c>
      <c r="K83" s="186">
        <v>3500</v>
      </c>
      <c r="L83" s="185">
        <v>0</v>
      </c>
      <c r="M83" s="187">
        <v>0</v>
      </c>
      <c r="N83" s="188">
        <v>40000</v>
      </c>
      <c r="O83" s="188">
        <v>0</v>
      </c>
      <c r="P83" s="185">
        <v>0</v>
      </c>
      <c r="Q83" s="189">
        <v>109168.54431005137</v>
      </c>
      <c r="R83" s="190">
        <v>512182.12484288076</v>
      </c>
      <c r="S83" s="191"/>
      <c r="T83" s="196">
        <f>(E57*H83/12)</f>
        <v>1074.8397894251934</v>
      </c>
      <c r="U83" s="196">
        <f>(T83*(R57/D57))</f>
        <v>878.28943138619741</v>
      </c>
      <c r="V83" s="193">
        <v>0</v>
      </c>
      <c r="W83" s="127">
        <f>($R57+$N83-$O83-$P83+$M83-$U83)</f>
        <v>512182.12484288076</v>
      </c>
      <c r="X83" s="194">
        <f>'[1]2021 T0 (2020 FC)'!C$323*60*60*24/43560*'[1]2021 T0 (2020 FC)'!$C$10+'[1]2021 T0 (2020 FC)'!C$225+'[1]2021 T0 (2020 FC)'!C$324</f>
        <v>66443.939923231766</v>
      </c>
      <c r="Y83" s="194">
        <f>X83+X85</f>
        <v>156996.79143796652</v>
      </c>
      <c r="Z83" s="194">
        <f>X83+X85+X87</f>
        <v>294036.68576286867</v>
      </c>
    </row>
    <row r="84" spans="1:28" x14ac:dyDescent="0.25">
      <c r="A84" s="141"/>
      <c r="B84" s="180"/>
      <c r="C84" s="181"/>
      <c r="D84" s="181"/>
      <c r="E84" s="182"/>
      <c r="F84" s="183"/>
      <c r="G84" s="183"/>
      <c r="H84" s="184"/>
      <c r="I84" s="181"/>
      <c r="J84" s="185"/>
      <c r="K84" s="186"/>
      <c r="L84" s="185"/>
      <c r="M84" s="195"/>
      <c r="N84" s="188"/>
      <c r="O84" s="188"/>
      <c r="P84" s="185"/>
      <c r="Q84" s="189"/>
      <c r="R84" s="190"/>
      <c r="S84" s="191"/>
      <c r="T84" s="196"/>
      <c r="U84" s="196"/>
      <c r="V84" s="193"/>
      <c r="X84" s="197">
        <f>W83-X83</f>
        <v>445738.18491964898</v>
      </c>
      <c r="Y84" s="197">
        <f>W83-Y83</f>
        <v>355185.33340491424</v>
      </c>
      <c r="Z84" s="197">
        <f>W83-Z83</f>
        <v>218145.43908001209</v>
      </c>
      <c r="AA84" s="127" t="s">
        <v>64</v>
      </c>
    </row>
    <row r="85" spans="1:28" x14ac:dyDescent="0.25">
      <c r="A85" s="141" t="s">
        <v>315</v>
      </c>
      <c r="B85" s="180">
        <v>1683.7994033650061</v>
      </c>
      <c r="C85" s="181">
        <v>681503.89280456025</v>
      </c>
      <c r="D85" s="181">
        <v>643662.89280456025</v>
      </c>
      <c r="E85" s="182">
        <v>8562.3594288212826</v>
      </c>
      <c r="F85" s="183">
        <v>3</v>
      </c>
      <c r="G85" s="183">
        <v>1.3</v>
      </c>
      <c r="H85" s="184">
        <v>1.7</v>
      </c>
      <c r="I85" s="181">
        <v>1187.7763483718645</v>
      </c>
      <c r="J85" s="185">
        <v>56</v>
      </c>
      <c r="K85" s="186">
        <v>3500</v>
      </c>
      <c r="L85" s="185">
        <v>0</v>
      </c>
      <c r="M85" s="187">
        <v>362</v>
      </c>
      <c r="N85" s="188">
        <v>20000</v>
      </c>
      <c r="O85" s="188">
        <v>0</v>
      </c>
      <c r="P85" s="185">
        <v>0</v>
      </c>
      <c r="Q85" s="189">
        <v>112097.85729745915</v>
      </c>
      <c r="R85" s="190">
        <v>531565.0355071011</v>
      </c>
      <c r="S85" s="191"/>
      <c r="T85" s="196">
        <f>(E83*H85/12)</f>
        <v>1187.7763483718645</v>
      </c>
      <c r="U85" s="196">
        <f>(T85*(R83/D83))</f>
        <v>979.0893357797047</v>
      </c>
      <c r="V85" s="193">
        <v>0</v>
      </c>
      <c r="W85" s="181">
        <f>($R83+$N85-$O85-$P85+$M85-$U85)</f>
        <v>531565.0355071011</v>
      </c>
      <c r="X85" s="198">
        <f>'[1]2021 T0 (2020 FC)'!D$323*60*60*24/43560*'[1]2021 T0 (2020 FC)'!D$10+'[1]2021 T0 (2020 FC)'!D$225+'[1]2021 T0 (2020 FC)'!D$324</f>
        <v>90552.851514734764</v>
      </c>
      <c r="Y85" s="198">
        <f>X85+X87</f>
        <v>227592.74583963692</v>
      </c>
      <c r="Z85" s="198">
        <f>X85+X87+X89</f>
        <v>369948.85122716648</v>
      </c>
      <c r="AA85" s="199"/>
    </row>
    <row r="86" spans="1:28" x14ac:dyDescent="0.25">
      <c r="A86" s="141"/>
      <c r="B86" s="180"/>
      <c r="C86" s="181" t="s">
        <v>278</v>
      </c>
      <c r="D86" s="181" t="s">
        <v>278</v>
      </c>
      <c r="E86" s="182" t="s">
        <v>278</v>
      </c>
      <c r="F86" s="183"/>
      <c r="G86" s="183"/>
      <c r="H86" s="184" t="s">
        <v>278</v>
      </c>
      <c r="I86" s="181"/>
      <c r="J86" s="185"/>
      <c r="K86" s="186"/>
      <c r="L86" s="185"/>
      <c r="M86" s="195" t="s">
        <v>316</v>
      </c>
      <c r="N86" s="188"/>
      <c r="O86" s="188"/>
      <c r="P86" s="185"/>
      <c r="Q86" s="189"/>
      <c r="R86" s="190"/>
      <c r="S86" s="191"/>
      <c r="T86" s="196"/>
      <c r="U86" s="196"/>
      <c r="V86" s="193"/>
      <c r="X86" s="200">
        <f>W85-X85</f>
        <v>441012.18399236631</v>
      </c>
      <c r="Y86" s="200">
        <f>W85-Y85</f>
        <v>303972.28966746421</v>
      </c>
      <c r="Z86" s="200">
        <f>W85-Z85</f>
        <v>161616.18427993462</v>
      </c>
      <c r="AA86" s="199" t="s">
        <v>65</v>
      </c>
    </row>
    <row r="87" spans="1:28" x14ac:dyDescent="0.25">
      <c r="A87" s="141" t="s">
        <v>317</v>
      </c>
      <c r="B87" s="180">
        <v>1689.8681516903414</v>
      </c>
      <c r="C87" s="181">
        <v>734778.41999971296</v>
      </c>
      <c r="D87" s="181">
        <v>696937.41999971296</v>
      </c>
      <c r="E87" s="182">
        <v>8999.3750733962497</v>
      </c>
      <c r="F87" s="183">
        <v>5</v>
      </c>
      <c r="G87" s="183">
        <v>0.9</v>
      </c>
      <c r="H87" s="184">
        <v>4.0999999999999996</v>
      </c>
      <c r="I87" s="181">
        <v>2925.4728048472712</v>
      </c>
      <c r="J87" s="185">
        <v>62</v>
      </c>
      <c r="K87" s="186">
        <v>2200</v>
      </c>
      <c r="L87" s="185">
        <v>0</v>
      </c>
      <c r="M87" s="187">
        <v>1489</v>
      </c>
      <c r="N87" s="188">
        <v>54000</v>
      </c>
      <c r="O87" s="188">
        <v>0</v>
      </c>
      <c r="P87" s="185">
        <v>0</v>
      </c>
      <c r="Q87" s="189">
        <v>112299.36818961811</v>
      </c>
      <c r="R87" s="190">
        <v>584638.05181009485</v>
      </c>
      <c r="S87" s="191"/>
      <c r="T87" s="196">
        <f>(E85*H87/12)</f>
        <v>2925.4728048472712</v>
      </c>
      <c r="U87" s="196">
        <f>(T87*(R85/D85))</f>
        <v>2415.9836970062488</v>
      </c>
      <c r="V87" s="193">
        <v>0</v>
      </c>
      <c r="W87" s="181">
        <f>($R85+$N87-$O87-$P87+$M87-$U87)</f>
        <v>584638.05181009485</v>
      </c>
      <c r="X87" s="194">
        <f>'[1]2021 T0 (2020 FC)'!F$323*60*60*24/43560*'[1]2021 T0 (2020 FC)'!F$10+'[1]2021 T0 (2020 FC)'!F$225+'[1]2021 T0 (2020 FC)'!F$324</f>
        <v>137039.89432490215</v>
      </c>
      <c r="Y87" s="194">
        <f>X87+X89</f>
        <v>279395.99971243169</v>
      </c>
      <c r="Z87" s="194">
        <f>X87+X89+X91</f>
        <v>466488.73099861218</v>
      </c>
    </row>
    <row r="88" spans="1:28" x14ac:dyDescent="0.25">
      <c r="A88" s="141"/>
      <c r="B88" s="180"/>
      <c r="C88" s="181" t="s">
        <v>278</v>
      </c>
      <c r="D88" s="181" t="s">
        <v>278</v>
      </c>
      <c r="E88" s="182" t="s">
        <v>278</v>
      </c>
      <c r="F88" s="183"/>
      <c r="G88" s="183"/>
      <c r="H88" s="184" t="s">
        <v>278</v>
      </c>
      <c r="I88" s="181"/>
      <c r="J88" s="185"/>
      <c r="K88" s="186"/>
      <c r="L88" s="185"/>
      <c r="M88" s="195"/>
      <c r="N88" s="188"/>
      <c r="O88" s="188"/>
      <c r="P88" s="185"/>
      <c r="Q88" s="189"/>
      <c r="R88" s="190"/>
      <c r="S88" s="191"/>
      <c r="T88" s="196"/>
      <c r="U88" s="196"/>
      <c r="V88" s="193"/>
      <c r="X88" s="197">
        <f>W87-X87</f>
        <v>447598.1574851927</v>
      </c>
      <c r="Y88" s="197">
        <f>W87-Y87</f>
        <v>305242.05209766317</v>
      </c>
      <c r="Z88" s="197">
        <f>W87-Z87</f>
        <v>118149.32081148267</v>
      </c>
      <c r="AA88" s="127" t="s">
        <v>66</v>
      </c>
    </row>
    <row r="89" spans="1:28" x14ac:dyDescent="0.25">
      <c r="A89" s="141" t="s">
        <v>318</v>
      </c>
      <c r="B89" s="180">
        <v>1692.7746549052806</v>
      </c>
      <c r="C89" s="181">
        <v>761253.76891706674</v>
      </c>
      <c r="D89" s="181">
        <v>723412.76891706674</v>
      </c>
      <c r="E89" s="182">
        <v>9218.8737728029155</v>
      </c>
      <c r="F89" s="183">
        <v>7</v>
      </c>
      <c r="G89" s="183">
        <v>0.3</v>
      </c>
      <c r="H89" s="184">
        <v>6.7</v>
      </c>
      <c r="I89" s="181">
        <v>5024.651082646239</v>
      </c>
      <c r="J89" s="185">
        <v>60</v>
      </c>
      <c r="K89" s="186">
        <v>1500</v>
      </c>
      <c r="L89" s="185">
        <v>0</v>
      </c>
      <c r="M89" s="187">
        <v>1849</v>
      </c>
      <c r="N89" s="188">
        <v>30000</v>
      </c>
      <c r="O89" s="188">
        <v>0</v>
      </c>
      <c r="P89" s="185">
        <v>0</v>
      </c>
      <c r="Q89" s="189">
        <v>111140.73288268526</v>
      </c>
      <c r="R89" s="190">
        <v>612272.03603438148</v>
      </c>
      <c r="S89" s="191"/>
      <c r="T89" s="196">
        <f>(E87*H89/12)</f>
        <v>5024.651082646239</v>
      </c>
      <c r="U89" s="196">
        <f>(T89*(R87/D87))</f>
        <v>4215.0157757133929</v>
      </c>
      <c r="V89" s="193">
        <v>0</v>
      </c>
      <c r="W89" s="181">
        <f>($R87+$N89-$O89-$P89+$M89-$U89)</f>
        <v>612272.03603438148</v>
      </c>
      <c r="X89" s="198">
        <f>'[1]2021 T0 (2020 FC)'!G$323*60*60*24/43560*'[1]2021 T0 (2020 FC)'!G$10+'[1]2021 T0 (2020 FC)'!G$225+'[1]2021 T0 (2020 FC)'!G$324</f>
        <v>142356.10538752953</v>
      </c>
      <c r="Y89" s="198">
        <f>X89+X91</f>
        <v>329448.83667371003</v>
      </c>
      <c r="Z89" s="198">
        <f>X89+X91+X93</f>
        <v>481526.2154761756</v>
      </c>
      <c r="AA89" s="199"/>
    </row>
    <row r="90" spans="1:28" x14ac:dyDescent="0.25">
      <c r="A90" s="141"/>
      <c r="B90" s="180"/>
      <c r="C90" s="181" t="s">
        <v>278</v>
      </c>
      <c r="D90" s="181" t="s">
        <v>278</v>
      </c>
      <c r="E90" s="182" t="s">
        <v>278</v>
      </c>
      <c r="F90" s="183"/>
      <c r="G90" s="183"/>
      <c r="H90" s="184" t="s">
        <v>278</v>
      </c>
      <c r="I90" s="181"/>
      <c r="J90" s="185"/>
      <c r="K90" s="186"/>
      <c r="L90" s="185"/>
      <c r="M90" s="195"/>
      <c r="N90" s="188"/>
      <c r="O90" s="188"/>
      <c r="P90" s="185"/>
      <c r="Q90" s="189"/>
      <c r="R90" s="190"/>
      <c r="S90" s="191"/>
      <c r="T90" s="196"/>
      <c r="U90" s="196"/>
      <c r="V90" s="193"/>
      <c r="X90" s="200">
        <f>W89-X89</f>
        <v>469915.93064685195</v>
      </c>
      <c r="Y90" s="200">
        <f>W89-Y89</f>
        <v>282823.19936067145</v>
      </c>
      <c r="Z90" s="200">
        <f>W89-Z89</f>
        <v>130745.82055820589</v>
      </c>
      <c r="AA90" s="199" t="s">
        <v>67</v>
      </c>
    </row>
    <row r="91" spans="1:28" x14ac:dyDescent="0.25">
      <c r="A91" s="141" t="s">
        <v>319</v>
      </c>
      <c r="B91" s="180">
        <v>1694.5322704488995</v>
      </c>
      <c r="C91" s="181">
        <v>777571.37410639762</v>
      </c>
      <c r="D91" s="181">
        <v>739730.37410639762</v>
      </c>
      <c r="E91" s="182">
        <v>9351.4525541180865</v>
      </c>
      <c r="F91" s="183">
        <v>10</v>
      </c>
      <c r="G91" s="183">
        <v>0</v>
      </c>
      <c r="H91" s="184">
        <v>10</v>
      </c>
      <c r="I91" s="181">
        <v>7682.3948106690959</v>
      </c>
      <c r="J91" s="185">
        <v>62</v>
      </c>
      <c r="K91" s="186">
        <v>0</v>
      </c>
      <c r="L91" s="185">
        <v>0</v>
      </c>
      <c r="M91" s="187">
        <v>2587</v>
      </c>
      <c r="N91" s="188">
        <v>24000</v>
      </c>
      <c r="O91" s="188">
        <v>0</v>
      </c>
      <c r="P91" s="185">
        <v>0</v>
      </c>
      <c r="Q91" s="189">
        <v>107373.45652285533</v>
      </c>
      <c r="R91" s="190">
        <v>632356.91758354229</v>
      </c>
      <c r="S91" s="191"/>
      <c r="T91" s="196">
        <f>(E89*H91/12)</f>
        <v>7682.3948106690959</v>
      </c>
      <c r="U91" s="196">
        <f>(T91*(R89/D89))</f>
        <v>6502.1184508391998</v>
      </c>
      <c r="V91" s="193">
        <v>0</v>
      </c>
      <c r="W91" s="181">
        <f>($R89+$N91-$O91-$P91+$M91-$U91)</f>
        <v>632356.91758354229</v>
      </c>
      <c r="X91" s="194">
        <f>'[1]2021 T0 (2020 FC)'!H$323*60*60*24/43560*'[1]2021 T0 (2020 FC)'!H$10+'[1]2021 T0 (2020 FC)'!H$225+'[1]2021 T0 (2020 FC)'!H$324</f>
        <v>187092.7312861805</v>
      </c>
      <c r="Y91" s="194">
        <f>X91+X93</f>
        <v>339170.11008864606</v>
      </c>
      <c r="Z91" s="194">
        <f>X91+X93+X95</f>
        <v>477252.17640439607</v>
      </c>
    </row>
    <row r="92" spans="1:28" x14ac:dyDescent="0.25">
      <c r="A92" s="141"/>
      <c r="B92" s="180"/>
      <c r="C92" s="181" t="s">
        <v>278</v>
      </c>
      <c r="D92" s="181" t="s">
        <v>278</v>
      </c>
      <c r="E92" s="182" t="s">
        <v>278</v>
      </c>
      <c r="F92" s="183"/>
      <c r="G92" s="183"/>
      <c r="H92" s="184" t="s">
        <v>278</v>
      </c>
      <c r="I92" s="181"/>
      <c r="J92" s="185"/>
      <c r="K92" s="186"/>
      <c r="L92" s="185"/>
      <c r="M92" s="195"/>
      <c r="N92" s="188"/>
      <c r="O92" s="188"/>
      <c r="P92" s="185"/>
      <c r="Q92" s="189"/>
      <c r="R92" s="190"/>
      <c r="S92" s="191"/>
      <c r="T92" s="196"/>
      <c r="U92" s="196"/>
      <c r="V92" s="193"/>
      <c r="X92" s="197">
        <f>W91-X91</f>
        <v>445264.1862973618</v>
      </c>
      <c r="Y92" s="197">
        <f>W91-Y91</f>
        <v>293186.80749489623</v>
      </c>
      <c r="Z92" s="197">
        <f>W91-Z91</f>
        <v>155104.74117914622</v>
      </c>
      <c r="AA92" s="127" t="s">
        <v>54</v>
      </c>
    </row>
    <row r="93" spans="1:28" x14ac:dyDescent="0.25">
      <c r="A93" s="141" t="s">
        <v>320</v>
      </c>
      <c r="B93" s="180">
        <v>1684.7296787926045</v>
      </c>
      <c r="C93" s="181">
        <v>689499.20926512266</v>
      </c>
      <c r="D93" s="181">
        <v>651658.20926512266</v>
      </c>
      <c r="E93" s="182">
        <v>8625.6181578980359</v>
      </c>
      <c r="F93" s="183">
        <v>11</v>
      </c>
      <c r="G93" s="183">
        <v>0</v>
      </c>
      <c r="H93" s="184">
        <v>11</v>
      </c>
      <c r="I93" s="181">
        <v>8572.1648412749128</v>
      </c>
      <c r="J93" s="185">
        <v>60</v>
      </c>
      <c r="K93" s="186">
        <v>0</v>
      </c>
      <c r="L93" s="185">
        <v>0</v>
      </c>
      <c r="M93" s="187">
        <v>2792</v>
      </c>
      <c r="N93" s="188">
        <v>0</v>
      </c>
      <c r="O93" s="188">
        <v>82000</v>
      </c>
      <c r="P93" s="185">
        <v>0</v>
      </c>
      <c r="Q93" s="189">
        <v>105837.18833932525</v>
      </c>
      <c r="R93" s="190">
        <v>545821.02092579741</v>
      </c>
      <c r="S93" s="191"/>
      <c r="T93" s="196">
        <f>(E91*H93/12)</f>
        <v>8572.1648412749128</v>
      </c>
      <c r="U93" s="196">
        <f>(T93*(R91/D91))</f>
        <v>7327.89665774485</v>
      </c>
      <c r="V93" s="193">
        <v>-2500</v>
      </c>
      <c r="W93" s="181">
        <f>($R91+$N93-$O93-$P93+$M93-$U93)</f>
        <v>545821.02092579741</v>
      </c>
      <c r="X93" s="198">
        <f>'[1]2021 T0 (2020 FC)'!J$323*60*60*24/43560*'[1]2021 T0 (2020 FC)'!J$10+'[1]2021 T0 (2020 FC)'!J$225+'[1]2021 T0 (2020 FC)'!J$324</f>
        <v>152077.37880246557</v>
      </c>
      <c r="Y93" s="198">
        <f>X93+X95</f>
        <v>290159.44511821552</v>
      </c>
      <c r="Z93" s="198">
        <f>X93+X95+X97</f>
        <v>388579.13009339711</v>
      </c>
      <c r="AA93" s="199"/>
    </row>
    <row r="94" spans="1:28" x14ac:dyDescent="0.25">
      <c r="A94" s="141"/>
      <c r="B94" s="180"/>
      <c r="C94" s="181" t="s">
        <v>278</v>
      </c>
      <c r="D94" s="181" t="s">
        <v>278</v>
      </c>
      <c r="E94" s="182" t="s">
        <v>278</v>
      </c>
      <c r="F94" s="183"/>
      <c r="G94" s="183"/>
      <c r="H94" s="184" t="s">
        <v>278</v>
      </c>
      <c r="I94" s="181"/>
      <c r="J94" s="185"/>
      <c r="K94" s="186"/>
      <c r="L94" s="185"/>
      <c r="M94" s="195"/>
      <c r="N94" s="188"/>
      <c r="O94" s="188"/>
      <c r="P94" s="185"/>
      <c r="Q94" s="189"/>
      <c r="R94" s="190"/>
      <c r="S94" s="191"/>
      <c r="T94" s="196"/>
      <c r="U94" s="196"/>
      <c r="V94" s="193"/>
      <c r="X94" s="200">
        <f>W93-X93</f>
        <v>393743.64212333184</v>
      </c>
      <c r="Y94" s="200">
        <f>W93-Y93</f>
        <v>255661.57580758189</v>
      </c>
      <c r="Z94" s="200">
        <f>W93-Z93</f>
        <v>157241.8908324003</v>
      </c>
      <c r="AA94" s="199" t="s">
        <v>68</v>
      </c>
    </row>
    <row r="95" spans="1:28" x14ac:dyDescent="0.25">
      <c r="A95" s="141" t="s">
        <v>321</v>
      </c>
      <c r="B95" s="180">
        <v>1670.9540543541625</v>
      </c>
      <c r="C95" s="181">
        <v>576795.55367959349</v>
      </c>
      <c r="D95" s="181">
        <v>538954.55367959349</v>
      </c>
      <c r="E95" s="182">
        <v>7769.8810981872493</v>
      </c>
      <c r="F95" s="183">
        <v>11</v>
      </c>
      <c r="G95" s="183">
        <v>0.7</v>
      </c>
      <c r="H95" s="184">
        <v>10.3</v>
      </c>
      <c r="I95" s="181">
        <v>7403.6555855291481</v>
      </c>
      <c r="J95" s="185">
        <v>62</v>
      </c>
      <c r="K95" s="186">
        <v>1200</v>
      </c>
      <c r="L95" s="185">
        <v>0</v>
      </c>
      <c r="M95" s="187">
        <v>1712</v>
      </c>
      <c r="N95" s="188">
        <v>0</v>
      </c>
      <c r="O95" s="188">
        <v>109000</v>
      </c>
      <c r="P95" s="185">
        <v>0</v>
      </c>
      <c r="Q95" s="189">
        <v>106622.74497336382</v>
      </c>
      <c r="R95" s="190">
        <v>432331.80870622967</v>
      </c>
      <c r="S95" s="191"/>
      <c r="T95" s="196">
        <f>(E93*H95/12)</f>
        <v>7403.6555855291481</v>
      </c>
      <c r="U95" s="196">
        <f>(T95*(R93/D93))</f>
        <v>6201.2122195677275</v>
      </c>
      <c r="V95" s="193">
        <v>-2500</v>
      </c>
      <c r="W95" s="181">
        <f>($R93+$N95-$O95-$P95+$M95-$U95)</f>
        <v>432331.80870622967</v>
      </c>
      <c r="X95" s="194">
        <f>'[1]2021 T0 (2020 FC)'!K$323*60*60*24/43560*'[1]2021 T0 (2020 FC)'!K$10+'[1]2021 T0 (2020 FC)'!K$225+'[1]2021 T0 (2020 FC)'!K$324</f>
        <v>138082.06631574998</v>
      </c>
      <c r="Y95" s="194">
        <f>X95+X97</f>
        <v>236501.75129093154</v>
      </c>
      <c r="Z95" s="194">
        <f>X95+X97+X99</f>
        <v>316310.99134794506</v>
      </c>
      <c r="AB95" s="127" t="s">
        <v>331</v>
      </c>
    </row>
    <row r="96" spans="1:28" x14ac:dyDescent="0.25">
      <c r="A96" s="141"/>
      <c r="B96" s="180"/>
      <c r="C96" s="181" t="s">
        <v>278</v>
      </c>
      <c r="D96" s="181" t="s">
        <v>278</v>
      </c>
      <c r="E96" s="182" t="s">
        <v>278</v>
      </c>
      <c r="F96" s="183"/>
      <c r="G96" s="183"/>
      <c r="H96" s="184" t="s">
        <v>278</v>
      </c>
      <c r="I96" s="181"/>
      <c r="J96" s="185"/>
      <c r="K96" s="186"/>
      <c r="L96" s="185"/>
      <c r="M96" s="195"/>
      <c r="N96" s="188"/>
      <c r="O96" s="188"/>
      <c r="P96" s="185"/>
      <c r="Q96" s="189"/>
      <c r="R96" s="190"/>
      <c r="S96" s="191"/>
      <c r="T96" s="196"/>
      <c r="U96" s="196"/>
      <c r="V96" s="193"/>
      <c r="X96" s="197">
        <f>W95-X95</f>
        <v>294249.74239047966</v>
      </c>
      <c r="Y96" s="197">
        <f>W95-Y95</f>
        <v>195830.05741529813</v>
      </c>
      <c r="Z96" s="197">
        <f>W95-Z95</f>
        <v>116020.81735828461</v>
      </c>
      <c r="AA96" s="127" t="s">
        <v>69</v>
      </c>
    </row>
    <row r="97" spans="1:28" x14ac:dyDescent="0.25">
      <c r="A97" s="141" t="s">
        <v>322</v>
      </c>
      <c r="B97" s="180">
        <v>1657.8171004926969</v>
      </c>
      <c r="C97" s="181">
        <v>479668.14285595308</v>
      </c>
      <c r="D97" s="181">
        <v>441827.14285595308</v>
      </c>
      <c r="E97" s="182">
        <v>7019.0260295633425</v>
      </c>
      <c r="F97" s="183">
        <v>10</v>
      </c>
      <c r="G97" s="183">
        <v>1</v>
      </c>
      <c r="H97" s="184">
        <v>9</v>
      </c>
      <c r="I97" s="181">
        <v>5827.4108236404363</v>
      </c>
      <c r="J97" s="185">
        <v>62</v>
      </c>
      <c r="K97" s="186">
        <v>1200</v>
      </c>
      <c r="L97" s="185">
        <v>0</v>
      </c>
      <c r="M97" s="187">
        <v>1759</v>
      </c>
      <c r="N97" s="188">
        <v>0</v>
      </c>
      <c r="O97" s="188">
        <v>95000</v>
      </c>
      <c r="P97" s="185">
        <v>0</v>
      </c>
      <c r="Q97" s="189">
        <v>107410.89352445782</v>
      </c>
      <c r="R97" s="190">
        <v>334416.24933149526</v>
      </c>
      <c r="S97" s="191"/>
      <c r="T97" s="196">
        <f>(E95*H97/12)</f>
        <v>5827.4108236404363</v>
      </c>
      <c r="U97" s="196">
        <f>(T97*(R95/D95))</f>
        <v>4674.5593747343837</v>
      </c>
      <c r="V97" s="193">
        <v>-2500</v>
      </c>
      <c r="W97" s="181">
        <f>($R95+$N97-$O97-$P97+$M97-$U97)</f>
        <v>334416.24933149526</v>
      </c>
      <c r="X97" s="198">
        <f>'[1]2021 T0 (2020 FC)'!L$323*60*60*24/43560*'[1]2021 T0 (2020 FC)'!L$10+'[1]2021 T0 (2020 FC)'!L$225+'[1]2021 T0 (2020 FC)'!L$324</f>
        <v>98419.684975181575</v>
      </c>
      <c r="Y97" s="198">
        <f>X97+X99</f>
        <v>178228.92503219511</v>
      </c>
      <c r="Z97" s="198">
        <f>X97+X99+X101</f>
        <v>237603.36146084691</v>
      </c>
      <c r="AA97" s="199"/>
      <c r="AB97" s="127" t="s">
        <v>332</v>
      </c>
    </row>
    <row r="98" spans="1:28" x14ac:dyDescent="0.25">
      <c r="A98" s="141"/>
      <c r="B98" s="180"/>
      <c r="C98" s="181" t="s">
        <v>278</v>
      </c>
      <c r="D98" s="181" t="s">
        <v>278</v>
      </c>
      <c r="E98" s="182" t="s">
        <v>278</v>
      </c>
      <c r="F98" s="183"/>
      <c r="G98" s="183"/>
      <c r="H98" s="184" t="s">
        <v>278</v>
      </c>
      <c r="I98" s="181"/>
      <c r="J98" s="185"/>
      <c r="K98" s="186"/>
      <c r="L98" s="185"/>
      <c r="M98" s="195"/>
      <c r="N98" s="188"/>
      <c r="O98" s="188"/>
      <c r="P98" s="185"/>
      <c r="Q98" s="189"/>
      <c r="R98" s="190"/>
      <c r="S98" s="191"/>
      <c r="T98" s="196"/>
      <c r="U98" s="196"/>
      <c r="V98" s="193"/>
      <c r="X98" s="200">
        <f>W97-X97</f>
        <v>235996.56435631367</v>
      </c>
      <c r="Y98" s="200">
        <f>W97-Y97</f>
        <v>156187.32429930015</v>
      </c>
      <c r="Z98" s="200">
        <f>W97-Z97</f>
        <v>96812.887870648352</v>
      </c>
      <c r="AA98" s="199" t="s">
        <v>70</v>
      </c>
    </row>
    <row r="99" spans="1:28" x14ac:dyDescent="0.25">
      <c r="A99" s="141" t="s">
        <v>323</v>
      </c>
      <c r="B99" s="180">
        <v>1656.0125953442782</v>
      </c>
      <c r="C99" s="181">
        <v>467098.2353546354</v>
      </c>
      <c r="D99" s="181">
        <v>429257.2353546354</v>
      </c>
      <c r="E99" s="182">
        <v>6910.7557206581396</v>
      </c>
      <c r="F99" s="183">
        <v>8</v>
      </c>
      <c r="G99" s="183">
        <v>0.7</v>
      </c>
      <c r="H99" s="184">
        <v>7.3</v>
      </c>
      <c r="I99" s="181">
        <v>4269.9075013176998</v>
      </c>
      <c r="J99" s="185">
        <v>60</v>
      </c>
      <c r="K99" s="186">
        <v>1200</v>
      </c>
      <c r="L99" s="185">
        <v>0</v>
      </c>
      <c r="M99" s="187">
        <v>1674</v>
      </c>
      <c r="N99" s="188">
        <v>0</v>
      </c>
      <c r="O99" s="188">
        <v>12000</v>
      </c>
      <c r="P99" s="185">
        <v>0</v>
      </c>
      <c r="Q99" s="189">
        <v>108398.85277164506</v>
      </c>
      <c r="R99" s="190">
        <v>320858.38258299034</v>
      </c>
      <c r="S99" s="191"/>
      <c r="T99" s="196">
        <f>(E97*H99/12)</f>
        <v>4269.9075013176998</v>
      </c>
      <c r="U99" s="196">
        <f>(T99*(R97/D97))</f>
        <v>3231.8667485049064</v>
      </c>
      <c r="V99" s="193">
        <v>-2500</v>
      </c>
      <c r="W99" s="181">
        <f>($R97+$N99-$O99-$P99+$M99-$U99)</f>
        <v>320858.38258299034</v>
      </c>
      <c r="X99" s="194">
        <f>'[1]2021 T0 (2020 FC)'!N$323*60*60*24/43560*'[1]2021 T0 (2020 FC)'!N$10+'[1]2021 T0 (2020 FC)'!N$225+'[1]2021 T0 (2020 FC)'!N$324</f>
        <v>79809.240057013536</v>
      </c>
      <c r="Y99" s="194">
        <f>X99+X101</f>
        <v>139183.67648566535</v>
      </c>
      <c r="Z99" s="194">
        <f>X99+X101+X103</f>
        <v>184539.78522399068</v>
      </c>
    </row>
    <row r="100" spans="1:28" x14ac:dyDescent="0.25">
      <c r="A100" s="141"/>
      <c r="B100" s="180"/>
      <c r="C100" s="181" t="s">
        <v>278</v>
      </c>
      <c r="D100" s="181" t="s">
        <v>278</v>
      </c>
      <c r="E100" s="182" t="s">
        <v>278</v>
      </c>
      <c r="F100" s="183"/>
      <c r="G100" s="183"/>
      <c r="H100" s="184" t="s">
        <v>278</v>
      </c>
      <c r="I100" s="181"/>
      <c r="J100" s="185"/>
      <c r="K100" s="186"/>
      <c r="L100" s="185"/>
      <c r="M100" s="195"/>
      <c r="N100" s="188"/>
      <c r="O100" s="188"/>
      <c r="P100" s="185"/>
      <c r="Q100" s="189"/>
      <c r="R100" s="190"/>
      <c r="S100" s="191"/>
      <c r="T100" s="196"/>
      <c r="U100" s="196"/>
      <c r="V100" s="193"/>
      <c r="X100" s="197">
        <f>W99-X99</f>
        <v>241049.14252597681</v>
      </c>
      <c r="Y100" s="197">
        <f>W99-Y99</f>
        <v>181674.70609732499</v>
      </c>
      <c r="Z100" s="197">
        <f>W99-Z99</f>
        <v>136318.59735899966</v>
      </c>
      <c r="AA100" s="127" t="s">
        <v>71</v>
      </c>
    </row>
    <row r="101" spans="1:28" x14ac:dyDescent="0.25">
      <c r="A101" s="141" t="s">
        <v>324</v>
      </c>
      <c r="B101" s="180">
        <v>1657.7541449025921</v>
      </c>
      <c r="C101" s="181">
        <v>479226.57234695717</v>
      </c>
      <c r="D101" s="181">
        <v>441385.57234695717</v>
      </c>
      <c r="E101" s="182">
        <v>7015.2486941570533</v>
      </c>
      <c r="F101" s="183">
        <v>3.5</v>
      </c>
      <c r="G101" s="183">
        <v>0.25</v>
      </c>
      <c r="H101" s="184">
        <v>3.25</v>
      </c>
      <c r="I101" s="181">
        <v>1871.663007678246</v>
      </c>
      <c r="J101" s="185">
        <v>62</v>
      </c>
      <c r="K101" s="186">
        <v>2000</v>
      </c>
      <c r="L101" s="185">
        <v>0</v>
      </c>
      <c r="M101" s="187">
        <v>2509</v>
      </c>
      <c r="N101" s="188">
        <v>12000</v>
      </c>
      <c r="O101" s="188">
        <v>0</v>
      </c>
      <c r="P101" s="185">
        <v>0</v>
      </c>
      <c r="Q101" s="189">
        <v>107417.20815182908</v>
      </c>
      <c r="R101" s="190">
        <v>333968.36419512809</v>
      </c>
      <c r="S101" s="191"/>
      <c r="T101" s="196">
        <f>(E99*H101/12)</f>
        <v>1871.663007678246</v>
      </c>
      <c r="U101" s="196">
        <f>(T101*(R99/D99))</f>
        <v>1399.0183878622699</v>
      </c>
      <c r="V101" s="193">
        <v>0</v>
      </c>
      <c r="W101" s="181">
        <f>($R99+$N101-$O101-$P101+$M101-$U101)</f>
        <v>333968.36419512809</v>
      </c>
      <c r="X101" s="198">
        <f>'[1]2021 T0 (2020 FC)'!O$323*60*60*24/43560*'[1]2021 T0 (2020 FC)'!O$10+'[1]2021 T0 (2020 FC)'!O$225+'[1]2021 T0 (2020 FC)'!O$324</f>
        <v>59374.43642865181</v>
      </c>
      <c r="Y101" s="198">
        <f>X101+X103</f>
        <v>104730.54516697716</v>
      </c>
      <c r="Z101" s="198">
        <f>X101+X103+X105</f>
        <v>170604.25751115888</v>
      </c>
      <c r="AA101" s="199"/>
    </row>
    <row r="102" spans="1:28" x14ac:dyDescent="0.25">
      <c r="A102" s="141"/>
      <c r="B102" s="180"/>
      <c r="C102" s="181" t="s">
        <v>278</v>
      </c>
      <c r="D102" s="181" t="s">
        <v>278</v>
      </c>
      <c r="E102" s="182" t="s">
        <v>278</v>
      </c>
      <c r="F102" s="183"/>
      <c r="G102" s="183"/>
      <c r="H102" s="184" t="s">
        <v>278</v>
      </c>
      <c r="I102" s="181"/>
      <c r="J102" s="185"/>
      <c r="K102" s="186"/>
      <c r="L102" s="185"/>
      <c r="M102" s="195"/>
      <c r="N102" s="188"/>
      <c r="O102" s="188"/>
      <c r="P102" s="185"/>
      <c r="Q102" s="189"/>
      <c r="R102" s="190"/>
      <c r="S102" s="191"/>
      <c r="T102" s="135"/>
      <c r="U102" s="196"/>
      <c r="V102" s="193" t="s">
        <v>278</v>
      </c>
      <c r="X102" s="200">
        <f>W101-X101</f>
        <v>274593.92776647629</v>
      </c>
      <c r="Y102" s="200">
        <f>W101-Y101</f>
        <v>229237.81902815093</v>
      </c>
      <c r="Z102" s="200">
        <f>W101-Z101</f>
        <v>163364.10668396921</v>
      </c>
      <c r="AA102" s="199" t="s">
        <v>72</v>
      </c>
    </row>
    <row r="103" spans="1:28" x14ac:dyDescent="0.25">
      <c r="A103" s="141" t="s">
        <v>325</v>
      </c>
      <c r="B103" s="180">
        <v>1661.6824342464906</v>
      </c>
      <c r="C103" s="181">
        <v>507238.91855027934</v>
      </c>
      <c r="D103" s="181">
        <v>469397.91855027934</v>
      </c>
      <c r="E103" s="182">
        <v>7241.8514493120656</v>
      </c>
      <c r="F103" s="183">
        <v>4</v>
      </c>
      <c r="G103" s="183">
        <v>0.6</v>
      </c>
      <c r="H103" s="184">
        <v>3.4</v>
      </c>
      <c r="I103" s="181">
        <v>1987.6537966778317</v>
      </c>
      <c r="J103" s="185">
        <v>60</v>
      </c>
      <c r="K103" s="186">
        <v>2000</v>
      </c>
      <c r="L103" s="185">
        <v>0</v>
      </c>
      <c r="M103" s="187">
        <v>3023</v>
      </c>
      <c r="N103" s="188">
        <v>28000</v>
      </c>
      <c r="O103" s="188">
        <v>0</v>
      </c>
      <c r="P103" s="185">
        <v>0</v>
      </c>
      <c r="Q103" s="189">
        <v>105910.4854499831</v>
      </c>
      <c r="R103" s="190">
        <v>363487.43310029624</v>
      </c>
      <c r="S103" s="191"/>
      <c r="T103" s="196">
        <f>(E101*H103/12)</f>
        <v>1987.6537966778317</v>
      </c>
      <c r="U103" s="196">
        <f>(T103*(R101/D101))</f>
        <v>1503.9310948318255</v>
      </c>
      <c r="V103" s="193">
        <v>0</v>
      </c>
      <c r="W103" s="181">
        <f>($R101+$N103-$O103-$P103+$M103-$U103)</f>
        <v>363487.43310029624</v>
      </c>
      <c r="X103" s="194">
        <f>'[1]2021 T0 (2020 FC)'!P$323*60*60*24/43560*'[1]2021 T0 (2020 FC)'!P$10+'[1]2021 T0 (2020 FC)'!P$225+'[1]2021 T0 (2020 FC)'!P$324</f>
        <v>45356.108738325347</v>
      </c>
      <c r="Y103" s="194">
        <f>X103+X105</f>
        <v>111229.82108250709</v>
      </c>
      <c r="Z103" s="194">
        <f>X103+X105+X107</f>
        <v>188349.29430739797</v>
      </c>
    </row>
    <row r="104" spans="1:28" x14ac:dyDescent="0.25">
      <c r="A104" s="141"/>
      <c r="B104" s="180"/>
      <c r="C104" s="181" t="s">
        <v>278</v>
      </c>
      <c r="D104" s="181" t="s">
        <v>278</v>
      </c>
      <c r="E104" s="182" t="s">
        <v>278</v>
      </c>
      <c r="F104" s="183"/>
      <c r="G104" s="183"/>
      <c r="H104" s="184" t="s">
        <v>278</v>
      </c>
      <c r="I104" s="181"/>
      <c r="J104" s="185"/>
      <c r="K104" s="186"/>
      <c r="L104" s="185"/>
      <c r="M104" s="195"/>
      <c r="N104" s="188"/>
      <c r="O104" s="188"/>
      <c r="P104" s="185"/>
      <c r="Q104" s="189"/>
      <c r="R104" s="190"/>
      <c r="S104" s="191"/>
      <c r="T104" s="196"/>
      <c r="U104" s="196"/>
      <c r="V104" s="193"/>
      <c r="X104" s="197">
        <f>W103-X103</f>
        <v>318131.32436197088</v>
      </c>
      <c r="Y104" s="197">
        <f>W103-Y103</f>
        <v>252257.61201778916</v>
      </c>
      <c r="Z104" s="197">
        <f>W103-Z103</f>
        <v>175138.13879289827</v>
      </c>
      <c r="AA104" s="127" t="s">
        <v>73</v>
      </c>
    </row>
    <row r="105" spans="1:28" x14ac:dyDescent="0.25">
      <c r="A105" s="141" t="s">
        <v>326</v>
      </c>
      <c r="B105" s="180">
        <v>1664.6987777744255</v>
      </c>
      <c r="C105" s="181">
        <v>529331.94330872735</v>
      </c>
      <c r="D105" s="181">
        <v>491490.94330872735</v>
      </c>
      <c r="E105" s="182">
        <v>7406.7339998206953</v>
      </c>
      <c r="F105" s="183">
        <v>3</v>
      </c>
      <c r="G105" s="183">
        <v>1</v>
      </c>
      <c r="H105" s="184">
        <v>2</v>
      </c>
      <c r="I105" s="181">
        <v>1206.9752415520109</v>
      </c>
      <c r="J105" s="185">
        <v>62</v>
      </c>
      <c r="K105" s="186">
        <v>2300</v>
      </c>
      <c r="L105" s="185">
        <v>0</v>
      </c>
      <c r="M105" s="187">
        <v>352</v>
      </c>
      <c r="N105" s="188">
        <v>21000</v>
      </c>
      <c r="O105" s="188">
        <v>0</v>
      </c>
      <c r="P105" s="185">
        <v>0</v>
      </c>
      <c r="Q105" s="189">
        <v>107586.15502688778</v>
      </c>
      <c r="R105" s="190">
        <v>383904.78828183957</v>
      </c>
      <c r="S105" s="191"/>
      <c r="T105" s="196">
        <f>(E103*H105/12)</f>
        <v>1206.9752415520109</v>
      </c>
      <c r="U105" s="196">
        <f>(T105*(R103/D103))</f>
        <v>934.64481845663977</v>
      </c>
      <c r="V105" s="193">
        <v>0</v>
      </c>
      <c r="W105" s="181">
        <f>($R103+$N105-$O105-$P105+$M105-$U105)</f>
        <v>383904.78828183957</v>
      </c>
      <c r="X105" s="198">
        <f>'[1]2022 T0 (2020 FC)'!B$326*60*60*24/43560*'[1]2022 T0 (2020 FC)'!B$10+'[1]2022 T0 (2020 FC)'!B$228+'[1]2022 T0 (2020 FC)'!B$327</f>
        <v>65873.712344181738</v>
      </c>
      <c r="Y105" s="198">
        <f>X105+X107</f>
        <v>142993.18556907264</v>
      </c>
      <c r="Z105" s="198">
        <f>X105+X107+X109</f>
        <v>247961.45813380677</v>
      </c>
      <c r="AA105" s="199"/>
    </row>
    <row r="106" spans="1:28" ht="13.8" thickBot="1" x14ac:dyDescent="0.3">
      <c r="A106" s="201"/>
      <c r="B106" s="202"/>
      <c r="C106" s="181" t="s">
        <v>278</v>
      </c>
      <c r="D106" s="181"/>
      <c r="E106" s="189"/>
      <c r="F106" s="203" t="s">
        <v>278</v>
      </c>
      <c r="G106" s="203" t="s">
        <v>278</v>
      </c>
      <c r="H106" s="184" t="s">
        <v>278</v>
      </c>
      <c r="I106" s="181" t="s">
        <v>278</v>
      </c>
      <c r="J106" s="181"/>
      <c r="K106" s="204" t="s">
        <v>278</v>
      </c>
      <c r="L106" s="205" t="s">
        <v>278</v>
      </c>
      <c r="M106" s="206"/>
      <c r="N106" s="181" t="s">
        <v>278</v>
      </c>
      <c r="O106" s="181" t="s">
        <v>278</v>
      </c>
      <c r="P106" s="181" t="s">
        <v>278</v>
      </c>
      <c r="Q106" s="189"/>
      <c r="R106" s="190"/>
      <c r="S106" s="191"/>
      <c r="T106" s="196" t="s">
        <v>278</v>
      </c>
      <c r="U106" s="196" t="s">
        <v>278</v>
      </c>
      <c r="V106" s="135" t="s">
        <v>278</v>
      </c>
      <c r="X106" s="200">
        <f>W105-X105</f>
        <v>318031.07593765785</v>
      </c>
      <c r="Y106" s="200">
        <f>W105-Y105</f>
        <v>240911.60271276694</v>
      </c>
      <c r="Z106" s="200">
        <f>W105-Z105</f>
        <v>135943.33014803281</v>
      </c>
      <c r="AA106" s="199" t="s">
        <v>74</v>
      </c>
    </row>
    <row r="107" spans="1:28" x14ac:dyDescent="0.25">
      <c r="A107" s="141"/>
      <c r="B107" s="178"/>
      <c r="C107" s="178"/>
      <c r="D107" s="178"/>
      <c r="E107" s="178"/>
      <c r="F107" s="178"/>
      <c r="G107" s="178"/>
      <c r="H107" s="178"/>
      <c r="I107" s="178"/>
      <c r="J107" s="178"/>
      <c r="K107" s="178"/>
      <c r="L107" s="178"/>
      <c r="M107" s="178"/>
      <c r="N107" s="178"/>
      <c r="O107" s="178"/>
      <c r="P107" s="178"/>
      <c r="Q107" s="178"/>
      <c r="R107" s="207"/>
      <c r="S107" s="140"/>
      <c r="T107" s="135"/>
      <c r="U107" s="135"/>
      <c r="V107" s="135"/>
      <c r="X107" s="208">
        <f>'[1]2022 T0 (2020 FC)'!C$326*60*60*24/43560*'[1]2022 T0 (2020 FC)'!C$10+'[1]2022 T0 (2020 FC)'!C$228+'[1]2022 T0 (2020 FC)'!C$327</f>
        <v>77119.473224890899</v>
      </c>
    </row>
    <row r="108" spans="1:28" x14ac:dyDescent="0.25">
      <c r="A108" s="141" t="s">
        <v>327</v>
      </c>
      <c r="B108" s="142"/>
      <c r="C108" s="142"/>
      <c r="D108" s="142"/>
      <c r="E108" s="142"/>
      <c r="F108" s="142">
        <f t="shared" ref="F108:P108" si="1">SUM(F83:F105)</f>
        <v>78.5</v>
      </c>
      <c r="G108" s="142">
        <f t="shared" si="1"/>
        <v>8.1499999999999986</v>
      </c>
      <c r="H108" s="142">
        <f t="shared" si="1"/>
        <v>70.350000000000009</v>
      </c>
      <c r="I108" s="181">
        <f t="shared" si="1"/>
        <v>49034.565633629951</v>
      </c>
      <c r="J108" s="181">
        <f t="shared" si="1"/>
        <v>730</v>
      </c>
      <c r="K108" s="181">
        <f t="shared" si="1"/>
        <v>20600</v>
      </c>
      <c r="L108" s="181">
        <f t="shared" si="1"/>
        <v>0</v>
      </c>
      <c r="M108" s="181">
        <f t="shared" si="1"/>
        <v>20108</v>
      </c>
      <c r="N108" s="181">
        <f t="shared" si="1"/>
        <v>229000</v>
      </c>
      <c r="O108" s="181">
        <f t="shared" si="1"/>
        <v>298000</v>
      </c>
      <c r="P108" s="181">
        <f t="shared" si="1"/>
        <v>0</v>
      </c>
      <c r="Q108" s="181"/>
      <c r="R108" s="190"/>
      <c r="S108" s="191"/>
      <c r="T108" s="196">
        <f>SUM(T83:T105)</f>
        <v>49034.565633629951</v>
      </c>
      <c r="U108" s="196">
        <f>SUM(U83:U105)</f>
        <v>40263.625992427347</v>
      </c>
      <c r="V108" s="196">
        <f>SUM(V83:V105)</f>
        <v>-10000</v>
      </c>
    </row>
    <row r="109" spans="1:28" ht="13.8" thickBot="1" x14ac:dyDescent="0.3">
      <c r="A109" s="209"/>
      <c r="B109" s="210"/>
      <c r="C109" s="210"/>
      <c r="D109" s="210"/>
      <c r="E109" s="210"/>
      <c r="F109" s="210"/>
      <c r="G109" s="210"/>
      <c r="H109" s="210"/>
      <c r="I109" s="210"/>
      <c r="J109" s="210"/>
      <c r="K109" s="210"/>
      <c r="L109" s="210"/>
      <c r="M109" s="210"/>
      <c r="N109" s="210"/>
      <c r="O109" s="210"/>
      <c r="P109" s="210"/>
      <c r="Q109" s="210"/>
      <c r="R109" s="211"/>
      <c r="S109" s="140"/>
      <c r="T109" s="196"/>
      <c r="U109" s="135"/>
      <c r="V109" s="196"/>
      <c r="X109" s="212">
        <f>'[1]2022 T0 (2020 FC)'!D$326*60*60*24/43560*'[1]2022 T0 (2020 FC)'!D$10+'[1]2022 T0 (2020 FC)'!D$228+'[1]2022 T0 (2020 FC)'!D$327</f>
        <v>104968.27256473413</v>
      </c>
    </row>
    <row r="110" spans="1:28" ht="13.8" thickTop="1" x14ac:dyDescent="0.25">
      <c r="T110" s="135"/>
      <c r="U110" s="135"/>
      <c r="V110" s="135"/>
    </row>
    <row r="111" spans="1:28" x14ac:dyDescent="0.25">
      <c r="A111" s="135"/>
      <c r="B111" s="135"/>
      <c r="C111" s="135"/>
      <c r="D111" s="135"/>
      <c r="E111" s="135"/>
      <c r="F111" s="135"/>
      <c r="G111" s="135"/>
      <c r="H111" s="135"/>
      <c r="I111" s="135"/>
      <c r="J111" s="135"/>
      <c r="K111" s="135"/>
      <c r="L111" s="135"/>
      <c r="M111" s="135"/>
      <c r="N111" s="135"/>
      <c r="O111" s="135"/>
      <c r="P111" s="135"/>
      <c r="Q111" s="135"/>
      <c r="R111" s="135"/>
      <c r="S111" s="136"/>
      <c r="T111" s="135"/>
      <c r="U111" s="135"/>
      <c r="V111" s="135"/>
    </row>
    <row r="112" spans="1:28" x14ac:dyDescent="0.25">
      <c r="A112" s="135"/>
      <c r="B112" s="135"/>
      <c r="C112" s="135"/>
      <c r="D112" s="135"/>
      <c r="E112" s="135"/>
      <c r="F112" s="135"/>
      <c r="G112" s="135"/>
      <c r="H112" s="135"/>
      <c r="I112" s="135"/>
      <c r="J112" s="135"/>
      <c r="K112" s="135"/>
      <c r="L112" s="135"/>
      <c r="M112" s="135"/>
      <c r="N112" s="135"/>
      <c r="O112" s="135"/>
      <c r="P112" s="135"/>
      <c r="Q112" s="135"/>
      <c r="R112" s="135"/>
      <c r="S112" s="136"/>
      <c r="T112" s="135"/>
      <c r="U112" s="135"/>
      <c r="V112" s="135"/>
    </row>
    <row r="113" spans="1:26" x14ac:dyDescent="0.25">
      <c r="A113" s="135"/>
      <c r="B113" s="135"/>
      <c r="C113" s="135"/>
      <c r="D113" s="135"/>
      <c r="E113" s="135"/>
      <c r="F113" s="135"/>
      <c r="G113" s="135"/>
      <c r="H113" s="135"/>
      <c r="I113" s="135"/>
      <c r="J113" s="135"/>
      <c r="K113" s="135"/>
      <c r="L113" s="135"/>
      <c r="M113" s="135"/>
      <c r="N113" s="135"/>
      <c r="O113" s="135"/>
      <c r="P113" s="135"/>
      <c r="Q113" s="135"/>
      <c r="R113" s="135"/>
      <c r="S113" s="136"/>
      <c r="T113" s="135"/>
      <c r="U113" s="135"/>
      <c r="V113" s="135"/>
    </row>
    <row r="114" spans="1:26" x14ac:dyDescent="0.25">
      <c r="A114" s="135"/>
      <c r="B114" s="135"/>
      <c r="C114" s="135"/>
      <c r="D114" s="135"/>
      <c r="E114" s="135"/>
      <c r="F114" s="135"/>
      <c r="G114" s="135"/>
      <c r="H114" s="135"/>
      <c r="I114" s="135"/>
      <c r="J114" s="135"/>
      <c r="K114" s="135"/>
      <c r="L114" s="135"/>
      <c r="M114" s="135"/>
      <c r="N114" s="135"/>
      <c r="O114" s="135"/>
      <c r="P114" s="135"/>
      <c r="Q114" s="135"/>
      <c r="R114" s="135"/>
      <c r="S114" s="136"/>
      <c r="T114" s="135"/>
      <c r="U114" s="135"/>
      <c r="V114" s="135"/>
    </row>
    <row r="115" spans="1:26" ht="13.8" thickBot="1" x14ac:dyDescent="0.3"/>
    <row r="116" spans="1:26" ht="13.8" thickTop="1" x14ac:dyDescent="0.25">
      <c r="A116" s="137"/>
      <c r="B116" s="138"/>
      <c r="C116" s="138"/>
      <c r="D116" s="138"/>
      <c r="E116" s="138"/>
      <c r="F116" s="138"/>
      <c r="G116" s="138"/>
      <c r="H116" s="138"/>
      <c r="I116" s="138"/>
      <c r="J116" s="138"/>
      <c r="K116" s="138"/>
      <c r="L116" s="138"/>
      <c r="M116" s="138"/>
      <c r="N116" s="138"/>
      <c r="O116" s="138"/>
      <c r="P116" s="138"/>
      <c r="Q116" s="138"/>
      <c r="R116" s="139"/>
      <c r="S116" s="140"/>
      <c r="T116" s="135"/>
      <c r="U116" s="135"/>
      <c r="V116" s="135"/>
    </row>
    <row r="117" spans="1:26" x14ac:dyDescent="0.25">
      <c r="A117" s="141"/>
      <c r="B117" s="142"/>
      <c r="C117" s="142"/>
      <c r="D117" s="142"/>
      <c r="E117" s="142"/>
      <c r="F117" s="142"/>
      <c r="G117" s="142"/>
      <c r="H117" s="142"/>
      <c r="I117" s="143"/>
      <c r="J117" s="142"/>
      <c r="K117" s="142"/>
      <c r="L117" s="142"/>
      <c r="M117" s="142"/>
      <c r="N117" s="142"/>
      <c r="O117" s="142"/>
      <c r="P117" s="142"/>
      <c r="Q117" s="142"/>
      <c r="R117" s="144"/>
      <c r="S117" s="140"/>
      <c r="T117" s="135"/>
      <c r="U117" s="135"/>
      <c r="V117" s="135"/>
    </row>
    <row r="118" spans="1:26" x14ac:dyDescent="0.25">
      <c r="A118" s="141"/>
      <c r="B118" s="142"/>
      <c r="C118" s="147"/>
      <c r="D118" s="142"/>
      <c r="E118" s="147"/>
      <c r="F118" s="147"/>
      <c r="G118" s="142"/>
      <c r="H118" s="143"/>
      <c r="I118" s="142"/>
      <c r="J118" s="142"/>
      <c r="K118" s="142"/>
      <c r="L118" s="142"/>
      <c r="M118" s="142"/>
      <c r="N118" s="142"/>
      <c r="O118" s="142"/>
      <c r="P118" s="142"/>
      <c r="Q118" s="142"/>
      <c r="R118" s="144"/>
      <c r="S118" s="140"/>
      <c r="T118" s="135"/>
      <c r="U118" s="135"/>
      <c r="V118" s="135"/>
    </row>
    <row r="119" spans="1:26" x14ac:dyDescent="0.25">
      <c r="A119" s="141"/>
      <c r="B119" s="142"/>
      <c r="C119" s="142"/>
      <c r="D119" s="142"/>
      <c r="F119" s="142"/>
      <c r="G119" s="142"/>
      <c r="H119" s="142"/>
      <c r="I119" s="143"/>
      <c r="J119" s="142"/>
      <c r="K119" s="142"/>
      <c r="L119" s="142"/>
      <c r="M119" s="142"/>
      <c r="N119" s="142"/>
      <c r="O119" s="142"/>
      <c r="P119" s="142"/>
      <c r="Q119" s="142"/>
      <c r="R119" s="144"/>
      <c r="S119" s="140"/>
      <c r="T119" s="135"/>
      <c r="U119" s="135"/>
      <c r="V119" s="135"/>
    </row>
    <row r="120" spans="1:26" x14ac:dyDescent="0.25">
      <c r="A120" s="141"/>
      <c r="B120" s="142"/>
      <c r="C120" s="142"/>
      <c r="D120" s="142"/>
      <c r="F120" s="142"/>
      <c r="G120" s="142"/>
      <c r="H120" s="143"/>
      <c r="I120" s="142"/>
      <c r="J120" s="142"/>
      <c r="K120" s="142"/>
      <c r="L120" s="142"/>
      <c r="M120" s="142"/>
      <c r="N120" s="142"/>
      <c r="O120" s="142"/>
      <c r="P120" s="142"/>
      <c r="Q120" s="142"/>
      <c r="R120" s="144"/>
      <c r="S120" s="140"/>
      <c r="T120" s="135"/>
      <c r="U120" s="135"/>
      <c r="V120" s="135"/>
    </row>
    <row r="121" spans="1:26" x14ac:dyDescent="0.25">
      <c r="A121" s="141"/>
      <c r="B121" s="142"/>
      <c r="C121" s="142"/>
      <c r="D121" s="142"/>
      <c r="F121" s="142"/>
      <c r="G121" s="142"/>
      <c r="H121" s="142"/>
      <c r="I121" s="148"/>
      <c r="J121" s="142"/>
      <c r="K121" s="142"/>
      <c r="L121" s="142"/>
      <c r="M121" s="142"/>
      <c r="N121" s="142"/>
      <c r="O121" s="142"/>
      <c r="P121" s="142"/>
      <c r="Q121" s="142"/>
      <c r="R121" s="144"/>
      <c r="S121" s="140"/>
      <c r="T121" s="135"/>
      <c r="U121" s="135"/>
      <c r="V121" s="135"/>
    </row>
    <row r="122" spans="1:26" ht="12.75" customHeight="1" x14ac:dyDescent="0.25">
      <c r="A122" s="141"/>
      <c r="B122" s="142"/>
      <c r="C122" s="142"/>
      <c r="D122" s="142"/>
      <c r="F122" s="142"/>
      <c r="G122" s="142"/>
      <c r="H122" s="143"/>
      <c r="I122" s="142"/>
      <c r="J122" s="142"/>
      <c r="K122" s="142"/>
      <c r="L122" s="142"/>
      <c r="M122" s="142"/>
      <c r="N122" s="142"/>
      <c r="O122" s="142"/>
      <c r="P122" s="142"/>
      <c r="Q122" s="489"/>
      <c r="R122" s="490"/>
      <c r="S122" s="140"/>
      <c r="T122" s="135"/>
      <c r="U122" s="135"/>
      <c r="V122" s="135"/>
    </row>
    <row r="123" spans="1:26" x14ac:dyDescent="0.25">
      <c r="A123" s="141"/>
      <c r="B123" s="142"/>
      <c r="C123" s="142"/>
      <c r="D123" s="142"/>
      <c r="F123" s="142"/>
      <c r="G123" s="142"/>
      <c r="H123" s="142"/>
      <c r="I123" s="143"/>
      <c r="J123" s="142"/>
      <c r="K123" s="142"/>
      <c r="L123" s="142"/>
      <c r="M123" s="142"/>
      <c r="N123" s="142"/>
      <c r="O123" s="142"/>
      <c r="P123" s="142"/>
      <c r="Q123" s="489"/>
      <c r="R123" s="490"/>
      <c r="S123" s="140"/>
      <c r="T123" s="135"/>
      <c r="U123" s="135"/>
      <c r="V123" s="135"/>
    </row>
    <row r="124" spans="1:26" ht="13.8" thickBot="1" x14ac:dyDescent="0.3">
      <c r="A124" s="141"/>
      <c r="B124" s="142"/>
      <c r="C124" s="142"/>
      <c r="D124" s="142"/>
      <c r="F124" s="142"/>
      <c r="G124" s="142"/>
      <c r="H124" s="143"/>
      <c r="I124" s="142"/>
      <c r="J124" s="142"/>
      <c r="K124" s="142"/>
      <c r="L124" s="142"/>
      <c r="M124" s="142"/>
      <c r="N124" s="142"/>
      <c r="O124" s="142"/>
      <c r="P124" s="142"/>
      <c r="Q124" s="491"/>
      <c r="R124" s="492"/>
      <c r="S124" s="140"/>
      <c r="T124" s="135"/>
      <c r="U124" s="135"/>
      <c r="V124" s="135"/>
    </row>
    <row r="125" spans="1:26" x14ac:dyDescent="0.25">
      <c r="A125" s="149"/>
      <c r="B125" s="150"/>
      <c r="C125" s="151"/>
      <c r="D125" s="151"/>
      <c r="E125" s="150"/>
      <c r="F125" s="152"/>
      <c r="G125" s="152"/>
      <c r="H125" s="153"/>
      <c r="I125" s="152"/>
      <c r="J125" s="152"/>
      <c r="K125" s="154"/>
      <c r="L125" s="152"/>
      <c r="M125" s="153"/>
      <c r="N125" s="152"/>
      <c r="O125" s="152"/>
      <c r="P125" s="152"/>
      <c r="Q125" s="150"/>
      <c r="R125" s="155"/>
      <c r="S125" s="156"/>
      <c r="T125" s="135"/>
      <c r="U125" s="135"/>
      <c r="V125" s="135"/>
      <c r="W125" s="156"/>
      <c r="X125" s="156"/>
      <c r="Y125" s="156"/>
      <c r="Z125" s="156"/>
    </row>
    <row r="126" spans="1:26" x14ac:dyDescent="0.25">
      <c r="A126" s="158"/>
      <c r="B126" s="159"/>
      <c r="C126" s="160"/>
      <c r="D126" s="160"/>
      <c r="E126" s="159"/>
      <c r="F126" s="160"/>
      <c r="G126" s="160"/>
      <c r="H126" s="161"/>
      <c r="I126" s="160"/>
      <c r="J126" s="160"/>
      <c r="K126" s="213"/>
      <c r="L126" s="160"/>
      <c r="M126" s="163"/>
      <c r="N126" s="160"/>
      <c r="O126" s="160"/>
      <c r="P126" s="160"/>
      <c r="Q126" s="164"/>
      <c r="R126" s="165"/>
      <c r="S126" s="156"/>
      <c r="T126" s="135"/>
      <c r="U126" s="135"/>
      <c r="V126" s="166"/>
      <c r="W126" s="156"/>
      <c r="X126" s="156"/>
      <c r="Y126" s="156"/>
      <c r="Z126" s="156"/>
    </row>
    <row r="127" spans="1:26" x14ac:dyDescent="0.25">
      <c r="A127" s="158"/>
      <c r="B127" s="164"/>
      <c r="C127" s="167"/>
      <c r="D127" s="167"/>
      <c r="E127" s="164"/>
      <c r="F127" s="160"/>
      <c r="G127" s="160"/>
      <c r="H127" s="163"/>
      <c r="I127" s="167"/>
      <c r="J127" s="167"/>
      <c r="K127" s="162"/>
      <c r="L127" s="167"/>
      <c r="M127" s="163"/>
      <c r="N127" s="167"/>
      <c r="O127" s="167"/>
      <c r="P127" s="167"/>
      <c r="Q127" s="164"/>
      <c r="R127" s="165"/>
      <c r="S127" s="156"/>
      <c r="T127" s="166"/>
      <c r="U127" s="166"/>
      <c r="V127" s="166"/>
      <c r="W127" s="156"/>
      <c r="X127" s="156"/>
      <c r="Y127" s="156"/>
      <c r="Z127" s="156"/>
    </row>
    <row r="128" spans="1:26" x14ac:dyDescent="0.25">
      <c r="A128" s="168"/>
      <c r="B128" s="164"/>
      <c r="C128" s="167"/>
      <c r="D128" s="167"/>
      <c r="E128" s="164"/>
      <c r="F128" s="167"/>
      <c r="G128" s="167"/>
      <c r="H128" s="163"/>
      <c r="I128" s="167"/>
      <c r="J128" s="167"/>
      <c r="K128" s="162"/>
      <c r="L128" s="167"/>
      <c r="M128" s="163"/>
      <c r="N128" s="167"/>
      <c r="O128" s="167"/>
      <c r="P128" s="167"/>
      <c r="Q128" s="164"/>
      <c r="R128" s="165"/>
      <c r="S128" s="156"/>
      <c r="T128" s="166"/>
      <c r="U128" s="166"/>
      <c r="V128" s="166"/>
      <c r="W128" s="156"/>
      <c r="X128" s="156"/>
      <c r="Y128" s="156"/>
      <c r="Z128" s="156"/>
    </row>
    <row r="129" spans="1:27" ht="13.8" thickBot="1" x14ac:dyDescent="0.3">
      <c r="A129" s="169"/>
      <c r="B129" s="170"/>
      <c r="C129" s="171"/>
      <c r="D129" s="171"/>
      <c r="E129" s="170"/>
      <c r="F129" s="171"/>
      <c r="G129" s="171"/>
      <c r="H129" s="172"/>
      <c r="I129" s="171"/>
      <c r="J129" s="171"/>
      <c r="K129" s="173"/>
      <c r="L129" s="171"/>
      <c r="M129" s="172"/>
      <c r="N129" s="171"/>
      <c r="O129" s="171"/>
      <c r="P129" s="171"/>
      <c r="Q129" s="170"/>
      <c r="R129" s="174"/>
      <c r="S129" s="156"/>
      <c r="T129" s="166"/>
      <c r="U129" s="166"/>
      <c r="V129" s="166"/>
      <c r="W129" s="156"/>
      <c r="X129" s="156"/>
      <c r="Y129" s="156"/>
      <c r="Z129" s="156"/>
    </row>
    <row r="130" spans="1:27" x14ac:dyDescent="0.25">
      <c r="A130" s="141"/>
      <c r="B130" s="175"/>
      <c r="C130" s="142"/>
      <c r="D130" s="142"/>
      <c r="E130" s="175"/>
      <c r="F130" s="142"/>
      <c r="G130" s="142"/>
      <c r="H130" s="176"/>
      <c r="I130" s="142"/>
      <c r="J130" s="142"/>
      <c r="K130" s="177"/>
      <c r="L130" s="178"/>
      <c r="M130" s="179"/>
      <c r="N130" s="142"/>
      <c r="O130" s="142"/>
      <c r="P130" s="142"/>
      <c r="Q130" s="175"/>
      <c r="R130" s="144"/>
      <c r="S130" s="140"/>
      <c r="T130" s="135"/>
      <c r="U130" s="135"/>
      <c r="V130" s="135"/>
    </row>
    <row r="131" spans="1:27" x14ac:dyDescent="0.25">
      <c r="A131" s="141"/>
      <c r="B131" s="180"/>
      <c r="C131" s="181"/>
      <c r="D131" s="181"/>
      <c r="E131" s="182"/>
      <c r="F131" s="183"/>
      <c r="G131" s="183"/>
      <c r="H131" s="184"/>
      <c r="I131" s="181"/>
      <c r="J131" s="185"/>
      <c r="K131" s="186"/>
      <c r="L131" s="185"/>
      <c r="M131" s="187"/>
      <c r="N131" s="188"/>
      <c r="O131" s="188"/>
      <c r="P131" s="185"/>
      <c r="Q131" s="189"/>
      <c r="R131" s="190"/>
      <c r="S131" s="191"/>
      <c r="T131" s="196"/>
      <c r="U131" s="196"/>
      <c r="V131" s="193"/>
      <c r="W131" s="181"/>
      <c r="X131" s="194"/>
      <c r="Y131" s="194"/>
      <c r="Z131" s="194"/>
    </row>
    <row r="132" spans="1:27" x14ac:dyDescent="0.25">
      <c r="A132" s="141"/>
      <c r="B132" s="180"/>
      <c r="C132" s="181"/>
      <c r="D132" s="181"/>
      <c r="E132" s="182"/>
      <c r="F132" s="183"/>
      <c r="G132" s="183"/>
      <c r="H132" s="184"/>
      <c r="I132" s="181"/>
      <c r="J132" s="185"/>
      <c r="K132" s="186"/>
      <c r="L132" s="185"/>
      <c r="M132" s="195"/>
      <c r="N132" s="188"/>
      <c r="O132" s="188"/>
      <c r="P132" s="185"/>
      <c r="Q132" s="189"/>
      <c r="R132" s="190"/>
      <c r="S132" s="191"/>
      <c r="T132" s="196"/>
      <c r="U132" s="196"/>
      <c r="V132" s="193"/>
      <c r="X132" s="197"/>
      <c r="Y132" s="197"/>
      <c r="Z132" s="197"/>
    </row>
    <row r="133" spans="1:27" x14ac:dyDescent="0.25">
      <c r="A133" s="141"/>
      <c r="B133" s="180"/>
      <c r="C133" s="181"/>
      <c r="D133" s="181"/>
      <c r="E133" s="182"/>
      <c r="F133" s="183"/>
      <c r="G133" s="183"/>
      <c r="H133" s="184"/>
      <c r="I133" s="181"/>
      <c r="J133" s="185"/>
      <c r="K133" s="186"/>
      <c r="L133" s="185"/>
      <c r="M133" s="187"/>
      <c r="N133" s="188"/>
      <c r="O133" s="188"/>
      <c r="P133" s="185"/>
      <c r="Q133" s="189"/>
      <c r="R133" s="190"/>
      <c r="S133" s="191"/>
      <c r="T133" s="196"/>
      <c r="U133" s="196"/>
      <c r="V133" s="193"/>
      <c r="W133" s="181"/>
      <c r="X133" s="198"/>
      <c r="Y133" s="198"/>
      <c r="Z133" s="198"/>
      <c r="AA133" s="199"/>
    </row>
    <row r="134" spans="1:27" x14ac:dyDescent="0.25">
      <c r="A134" s="141"/>
      <c r="B134" s="180"/>
      <c r="C134" s="181"/>
      <c r="D134" s="181"/>
      <c r="E134" s="182"/>
      <c r="F134" s="183"/>
      <c r="G134" s="183"/>
      <c r="H134" s="184"/>
      <c r="I134" s="181"/>
      <c r="J134" s="185"/>
      <c r="K134" s="186"/>
      <c r="L134" s="185"/>
      <c r="M134" s="195"/>
      <c r="N134" s="188"/>
      <c r="O134" s="188"/>
      <c r="P134" s="185"/>
      <c r="Q134" s="189"/>
      <c r="R134" s="190"/>
      <c r="S134" s="191"/>
      <c r="T134" s="196"/>
      <c r="U134" s="196"/>
      <c r="V134" s="193"/>
      <c r="X134" s="200"/>
      <c r="Y134" s="200"/>
      <c r="Z134" s="200"/>
      <c r="AA134" s="199"/>
    </row>
    <row r="135" spans="1:27" x14ac:dyDescent="0.25">
      <c r="A135" s="141"/>
      <c r="B135" s="180"/>
      <c r="C135" s="181"/>
      <c r="D135" s="181"/>
      <c r="E135" s="182"/>
      <c r="F135" s="183"/>
      <c r="G135" s="183"/>
      <c r="H135" s="184"/>
      <c r="I135" s="181"/>
      <c r="J135" s="185"/>
      <c r="K135" s="186"/>
      <c r="L135" s="185"/>
      <c r="M135" s="187"/>
      <c r="N135" s="188"/>
      <c r="O135" s="188"/>
      <c r="P135" s="185"/>
      <c r="Q135" s="189"/>
      <c r="R135" s="190"/>
      <c r="S135" s="191"/>
      <c r="T135" s="196"/>
      <c r="U135" s="196"/>
      <c r="V135" s="193"/>
      <c r="W135" s="181"/>
      <c r="X135" s="194"/>
      <c r="Y135" s="194"/>
      <c r="Z135" s="194"/>
    </row>
    <row r="136" spans="1:27" x14ac:dyDescent="0.25">
      <c r="A136" s="141"/>
      <c r="B136" s="180"/>
      <c r="C136" s="181"/>
      <c r="D136" s="181"/>
      <c r="E136" s="182"/>
      <c r="F136" s="183"/>
      <c r="G136" s="183"/>
      <c r="H136" s="184"/>
      <c r="I136" s="181"/>
      <c r="J136" s="185"/>
      <c r="K136" s="186"/>
      <c r="L136" s="185"/>
      <c r="M136" s="195"/>
      <c r="N136" s="188"/>
      <c r="O136" s="188"/>
      <c r="P136" s="185"/>
      <c r="Q136" s="189"/>
      <c r="R136" s="190"/>
      <c r="S136" s="191"/>
      <c r="T136" s="196"/>
      <c r="U136" s="196"/>
      <c r="V136" s="193"/>
      <c r="X136" s="197"/>
      <c r="Y136" s="197"/>
      <c r="Z136" s="197"/>
    </row>
    <row r="137" spans="1:27" x14ac:dyDescent="0.25">
      <c r="A137" s="141"/>
      <c r="B137" s="180"/>
      <c r="C137" s="181"/>
      <c r="D137" s="181"/>
      <c r="E137" s="182"/>
      <c r="F137" s="183"/>
      <c r="G137" s="183"/>
      <c r="H137" s="184"/>
      <c r="I137" s="181"/>
      <c r="J137" s="185"/>
      <c r="K137" s="186"/>
      <c r="L137" s="185"/>
      <c r="M137" s="187"/>
      <c r="N137" s="188"/>
      <c r="O137" s="188"/>
      <c r="P137" s="185"/>
      <c r="Q137" s="189"/>
      <c r="R137" s="190"/>
      <c r="S137" s="191"/>
      <c r="T137" s="196"/>
      <c r="U137" s="196"/>
      <c r="V137" s="193"/>
      <c r="W137" s="181"/>
      <c r="X137" s="198"/>
      <c r="Y137" s="198"/>
      <c r="Z137" s="198"/>
      <c r="AA137" s="199"/>
    </row>
    <row r="138" spans="1:27" x14ac:dyDescent="0.25">
      <c r="A138" s="141"/>
      <c r="B138" s="180"/>
      <c r="C138" s="181"/>
      <c r="D138" s="181"/>
      <c r="E138" s="182"/>
      <c r="F138" s="183"/>
      <c r="G138" s="183"/>
      <c r="H138" s="184"/>
      <c r="I138" s="181"/>
      <c r="J138" s="185"/>
      <c r="K138" s="186"/>
      <c r="L138" s="185"/>
      <c r="M138" s="195"/>
      <c r="N138" s="188"/>
      <c r="O138" s="188"/>
      <c r="P138" s="185"/>
      <c r="Q138" s="189"/>
      <c r="R138" s="190"/>
      <c r="S138" s="191"/>
      <c r="T138" s="196"/>
      <c r="U138" s="196"/>
      <c r="V138" s="193"/>
      <c r="X138" s="200"/>
      <c r="Y138" s="200"/>
      <c r="Z138" s="200"/>
      <c r="AA138" s="199"/>
    </row>
    <row r="139" spans="1:27" x14ac:dyDescent="0.25">
      <c r="A139" s="141"/>
      <c r="B139" s="180"/>
      <c r="C139" s="181"/>
      <c r="D139" s="181"/>
      <c r="E139" s="182"/>
      <c r="F139" s="183"/>
      <c r="G139" s="183"/>
      <c r="H139" s="184"/>
      <c r="I139" s="181"/>
      <c r="J139" s="185"/>
      <c r="K139" s="186"/>
      <c r="L139" s="185"/>
      <c r="M139" s="187"/>
      <c r="N139" s="188"/>
      <c r="O139" s="188"/>
      <c r="P139" s="185"/>
      <c r="Q139" s="189"/>
      <c r="R139" s="190"/>
      <c r="S139" s="191"/>
      <c r="T139" s="196"/>
      <c r="U139" s="196"/>
      <c r="V139" s="193"/>
      <c r="W139" s="181"/>
      <c r="X139" s="194"/>
      <c r="Y139" s="194"/>
      <c r="Z139" s="194"/>
    </row>
    <row r="140" spans="1:27" x14ac:dyDescent="0.25">
      <c r="A140" s="141"/>
      <c r="B140" s="180"/>
      <c r="C140" s="181"/>
      <c r="D140" s="181"/>
      <c r="E140" s="182"/>
      <c r="F140" s="183"/>
      <c r="G140" s="183"/>
      <c r="H140" s="184"/>
      <c r="I140" s="181"/>
      <c r="J140" s="185"/>
      <c r="K140" s="186"/>
      <c r="L140" s="185"/>
      <c r="M140" s="195"/>
      <c r="N140" s="188"/>
      <c r="O140" s="188"/>
      <c r="P140" s="185"/>
      <c r="Q140" s="189"/>
      <c r="R140" s="190"/>
      <c r="S140" s="191"/>
      <c r="T140" s="196"/>
      <c r="U140" s="196"/>
      <c r="V140" s="193"/>
      <c r="X140" s="197"/>
      <c r="Y140" s="197"/>
      <c r="Z140" s="197"/>
    </row>
    <row r="141" spans="1:27" x14ac:dyDescent="0.25">
      <c r="A141" s="141"/>
      <c r="B141" s="180"/>
      <c r="C141" s="181"/>
      <c r="D141" s="181"/>
      <c r="E141" s="182"/>
      <c r="F141" s="183"/>
      <c r="G141" s="183"/>
      <c r="H141" s="184"/>
      <c r="I141" s="181"/>
      <c r="J141" s="185"/>
      <c r="K141" s="186"/>
      <c r="L141" s="185"/>
      <c r="M141" s="187"/>
      <c r="N141" s="188"/>
      <c r="O141" s="188"/>
      <c r="P141" s="185"/>
      <c r="Q141" s="189"/>
      <c r="R141" s="190"/>
      <c r="S141" s="191"/>
      <c r="T141" s="196"/>
      <c r="U141" s="196"/>
      <c r="V141" s="193"/>
      <c r="W141" s="181"/>
      <c r="X141" s="198"/>
      <c r="Y141" s="198"/>
      <c r="Z141" s="198"/>
      <c r="AA141" s="199"/>
    </row>
    <row r="142" spans="1:27" x14ac:dyDescent="0.25">
      <c r="A142" s="141"/>
      <c r="B142" s="180"/>
      <c r="C142" s="181"/>
      <c r="D142" s="181"/>
      <c r="E142" s="182"/>
      <c r="F142" s="183"/>
      <c r="G142" s="183"/>
      <c r="H142" s="184"/>
      <c r="I142" s="181"/>
      <c r="J142" s="185"/>
      <c r="K142" s="186"/>
      <c r="L142" s="185"/>
      <c r="M142" s="195"/>
      <c r="N142" s="188"/>
      <c r="O142" s="188"/>
      <c r="P142" s="185"/>
      <c r="Q142" s="189"/>
      <c r="R142" s="190"/>
      <c r="S142" s="191"/>
      <c r="T142" s="196"/>
      <c r="U142" s="196"/>
      <c r="V142" s="193"/>
      <c r="X142" s="200"/>
      <c r="Y142" s="200"/>
      <c r="Z142" s="200"/>
      <c r="AA142" s="199"/>
    </row>
    <row r="143" spans="1:27" x14ac:dyDescent="0.25">
      <c r="A143" s="141"/>
      <c r="B143" s="180"/>
      <c r="C143" s="181"/>
      <c r="D143" s="181"/>
      <c r="E143" s="182"/>
      <c r="F143" s="183"/>
      <c r="G143" s="183"/>
      <c r="H143" s="184"/>
      <c r="I143" s="181"/>
      <c r="J143" s="185"/>
      <c r="K143" s="186"/>
      <c r="L143" s="185"/>
      <c r="M143" s="187"/>
      <c r="N143" s="188"/>
      <c r="O143" s="188"/>
      <c r="P143" s="185"/>
      <c r="Q143" s="189"/>
      <c r="R143" s="190"/>
      <c r="S143" s="191"/>
      <c r="T143" s="196"/>
      <c r="U143" s="196"/>
      <c r="V143" s="193"/>
      <c r="W143" s="181"/>
      <c r="X143" s="194"/>
      <c r="Y143" s="194"/>
      <c r="Z143" s="194"/>
    </row>
    <row r="144" spans="1:27" x14ac:dyDescent="0.25">
      <c r="A144" s="141"/>
      <c r="B144" s="180"/>
      <c r="C144" s="181"/>
      <c r="D144" s="181"/>
      <c r="E144" s="182"/>
      <c r="F144" s="183"/>
      <c r="G144" s="183"/>
      <c r="H144" s="184"/>
      <c r="I144" s="181"/>
      <c r="J144" s="185"/>
      <c r="K144" s="186"/>
      <c r="L144" s="185"/>
      <c r="M144" s="195"/>
      <c r="N144" s="188"/>
      <c r="O144" s="188"/>
      <c r="P144" s="185"/>
      <c r="Q144" s="189"/>
      <c r="R144" s="190"/>
      <c r="S144" s="191"/>
      <c r="T144" s="196"/>
      <c r="U144" s="196"/>
      <c r="V144" s="193"/>
      <c r="X144" s="197"/>
      <c r="Y144" s="197"/>
      <c r="Z144" s="197"/>
    </row>
    <row r="145" spans="1:27" x14ac:dyDescent="0.25">
      <c r="A145" s="141"/>
      <c r="B145" s="180"/>
      <c r="C145" s="181"/>
      <c r="D145" s="181"/>
      <c r="E145" s="182"/>
      <c r="F145" s="183"/>
      <c r="G145" s="183"/>
      <c r="H145" s="184"/>
      <c r="I145" s="181"/>
      <c r="J145" s="185"/>
      <c r="K145" s="186"/>
      <c r="L145" s="185"/>
      <c r="M145" s="187"/>
      <c r="N145" s="188"/>
      <c r="O145" s="188"/>
      <c r="P145" s="185"/>
      <c r="Q145" s="189"/>
      <c r="R145" s="190"/>
      <c r="S145" s="191"/>
      <c r="T145" s="196"/>
      <c r="U145" s="196"/>
      <c r="V145" s="193"/>
      <c r="W145" s="181"/>
      <c r="X145" s="198"/>
      <c r="Y145" s="198"/>
      <c r="Z145" s="198"/>
      <c r="AA145" s="199"/>
    </row>
    <row r="146" spans="1:27" x14ac:dyDescent="0.25">
      <c r="A146" s="141"/>
      <c r="B146" s="180"/>
      <c r="C146" s="181"/>
      <c r="D146" s="181"/>
      <c r="E146" s="182"/>
      <c r="F146" s="183"/>
      <c r="G146" s="183"/>
      <c r="H146" s="184"/>
      <c r="I146" s="181"/>
      <c r="J146" s="185"/>
      <c r="K146" s="186"/>
      <c r="L146" s="185"/>
      <c r="M146" s="195"/>
      <c r="N146" s="188"/>
      <c r="O146" s="188"/>
      <c r="P146" s="185"/>
      <c r="Q146" s="189"/>
      <c r="R146" s="190"/>
      <c r="S146" s="191"/>
      <c r="T146" s="196"/>
      <c r="U146" s="196"/>
      <c r="V146" s="193"/>
      <c r="X146" s="200"/>
      <c r="Y146" s="200"/>
      <c r="Z146" s="200"/>
      <c r="AA146" s="199"/>
    </row>
    <row r="147" spans="1:27" x14ac:dyDescent="0.25">
      <c r="A147" s="141"/>
      <c r="B147" s="180"/>
      <c r="C147" s="181"/>
      <c r="D147" s="181"/>
      <c r="E147" s="182"/>
      <c r="F147" s="183"/>
      <c r="G147" s="183"/>
      <c r="H147" s="184"/>
      <c r="I147" s="181"/>
      <c r="J147" s="185"/>
      <c r="K147" s="186"/>
      <c r="L147" s="185"/>
      <c r="M147" s="187"/>
      <c r="N147" s="188"/>
      <c r="O147" s="188"/>
      <c r="P147" s="185"/>
      <c r="Q147" s="189"/>
      <c r="R147" s="190"/>
      <c r="S147" s="191"/>
      <c r="T147" s="196"/>
      <c r="U147" s="196"/>
      <c r="V147" s="193"/>
      <c r="W147" s="181"/>
      <c r="X147" s="194"/>
      <c r="Y147" s="194"/>
      <c r="Z147" s="194"/>
    </row>
    <row r="148" spans="1:27" x14ac:dyDescent="0.25">
      <c r="A148" s="141"/>
      <c r="B148" s="180"/>
      <c r="C148" s="181"/>
      <c r="D148" s="181"/>
      <c r="E148" s="182"/>
      <c r="F148" s="183"/>
      <c r="G148" s="183"/>
      <c r="H148" s="184"/>
      <c r="I148" s="181"/>
      <c r="J148" s="185"/>
      <c r="K148" s="186"/>
      <c r="L148" s="185"/>
      <c r="M148" s="195"/>
      <c r="N148" s="188"/>
      <c r="O148" s="188"/>
      <c r="P148" s="185"/>
      <c r="Q148" s="189"/>
      <c r="R148" s="190"/>
      <c r="S148" s="191"/>
      <c r="T148" s="196"/>
      <c r="U148" s="196"/>
      <c r="V148" s="193"/>
      <c r="X148" s="197"/>
      <c r="Y148" s="197"/>
      <c r="Z148" s="197"/>
    </row>
    <row r="149" spans="1:27" x14ac:dyDescent="0.25">
      <c r="A149" s="141"/>
      <c r="B149" s="180"/>
      <c r="C149" s="181"/>
      <c r="D149" s="181"/>
      <c r="E149" s="182"/>
      <c r="F149" s="183"/>
      <c r="G149" s="183"/>
      <c r="H149" s="184"/>
      <c r="I149" s="181"/>
      <c r="J149" s="185"/>
      <c r="K149" s="186"/>
      <c r="L149" s="185"/>
      <c r="M149" s="187"/>
      <c r="N149" s="188"/>
      <c r="O149" s="188"/>
      <c r="P149" s="185"/>
      <c r="Q149" s="189"/>
      <c r="R149" s="190"/>
      <c r="S149" s="191"/>
      <c r="T149" s="196"/>
      <c r="U149" s="196"/>
      <c r="V149" s="193"/>
      <c r="W149" s="181"/>
      <c r="X149" s="198"/>
      <c r="Y149" s="198"/>
      <c r="Z149" s="198"/>
      <c r="AA149" s="199"/>
    </row>
    <row r="150" spans="1:27" x14ac:dyDescent="0.25">
      <c r="A150" s="141"/>
      <c r="B150" s="180"/>
      <c r="C150" s="181"/>
      <c r="D150" s="181"/>
      <c r="E150" s="182"/>
      <c r="F150" s="183"/>
      <c r="G150" s="183"/>
      <c r="H150" s="184"/>
      <c r="I150" s="181"/>
      <c r="J150" s="185"/>
      <c r="K150" s="186"/>
      <c r="L150" s="185"/>
      <c r="M150" s="195"/>
      <c r="N150" s="188"/>
      <c r="O150" s="188"/>
      <c r="P150" s="185"/>
      <c r="Q150" s="189"/>
      <c r="R150" s="190"/>
      <c r="S150" s="191"/>
      <c r="T150" s="135"/>
      <c r="U150" s="196"/>
      <c r="V150" s="193"/>
      <c r="X150" s="200"/>
      <c r="Y150" s="200"/>
      <c r="Z150" s="200"/>
      <c r="AA150" s="199"/>
    </row>
    <row r="151" spans="1:27" x14ac:dyDescent="0.25">
      <c r="A151" s="141"/>
      <c r="B151" s="180"/>
      <c r="C151" s="181"/>
      <c r="D151" s="181"/>
      <c r="E151" s="182"/>
      <c r="F151" s="183"/>
      <c r="G151" s="183"/>
      <c r="H151" s="184"/>
      <c r="I151" s="181"/>
      <c r="J151" s="185"/>
      <c r="K151" s="186"/>
      <c r="L151" s="185"/>
      <c r="M151" s="187"/>
      <c r="N151" s="188"/>
      <c r="O151" s="188"/>
      <c r="P151" s="185"/>
      <c r="Q151" s="189"/>
      <c r="R151" s="190"/>
      <c r="S151" s="191"/>
      <c r="T151" s="196"/>
      <c r="U151" s="196"/>
      <c r="V151" s="193"/>
      <c r="W151" s="181"/>
      <c r="X151" s="194"/>
      <c r="Y151" s="194"/>
      <c r="Z151" s="194"/>
    </row>
    <row r="152" spans="1:27" x14ac:dyDescent="0.25">
      <c r="A152" s="141"/>
      <c r="B152" s="180"/>
      <c r="C152" s="181"/>
      <c r="D152" s="181"/>
      <c r="E152" s="182"/>
      <c r="F152" s="183"/>
      <c r="G152" s="183"/>
      <c r="H152" s="184"/>
      <c r="I152" s="181"/>
      <c r="J152" s="185"/>
      <c r="K152" s="186"/>
      <c r="L152" s="185"/>
      <c r="M152" s="195"/>
      <c r="N152" s="188"/>
      <c r="O152" s="188"/>
      <c r="P152" s="185"/>
      <c r="Q152" s="189"/>
      <c r="R152" s="190"/>
      <c r="S152" s="191"/>
      <c r="T152" s="196"/>
      <c r="U152" s="196"/>
      <c r="V152" s="193"/>
      <c r="X152" s="197"/>
      <c r="Y152" s="197"/>
      <c r="Z152" s="197"/>
    </row>
    <row r="153" spans="1:27" x14ac:dyDescent="0.25">
      <c r="A153" s="141"/>
      <c r="B153" s="180"/>
      <c r="C153" s="181"/>
      <c r="D153" s="181"/>
      <c r="E153" s="182"/>
      <c r="F153" s="183"/>
      <c r="G153" s="183"/>
      <c r="H153" s="184"/>
      <c r="I153" s="181"/>
      <c r="J153" s="185"/>
      <c r="K153" s="186"/>
      <c r="L153" s="185"/>
      <c r="M153" s="187"/>
      <c r="N153" s="188"/>
      <c r="O153" s="188"/>
      <c r="P153" s="185"/>
      <c r="Q153" s="189"/>
      <c r="R153" s="190"/>
      <c r="S153" s="191"/>
      <c r="T153" s="196"/>
      <c r="U153" s="196"/>
      <c r="V153" s="193"/>
      <c r="W153" s="181"/>
      <c r="X153" s="198"/>
      <c r="Y153" s="198"/>
      <c r="Z153" s="198"/>
      <c r="AA153" s="199"/>
    </row>
    <row r="154" spans="1:27" ht="13.8" thickBot="1" x14ac:dyDescent="0.3">
      <c r="A154" s="201"/>
      <c r="B154" s="202"/>
      <c r="C154" s="181"/>
      <c r="D154" s="181"/>
      <c r="E154" s="189"/>
      <c r="F154" s="203"/>
      <c r="G154" s="203"/>
      <c r="H154" s="184"/>
      <c r="I154" s="181"/>
      <c r="J154" s="181"/>
      <c r="K154" s="204"/>
      <c r="L154" s="205"/>
      <c r="M154" s="206"/>
      <c r="N154" s="181"/>
      <c r="O154" s="181"/>
      <c r="P154" s="181"/>
      <c r="Q154" s="189"/>
      <c r="R154" s="190"/>
      <c r="S154" s="191"/>
      <c r="T154" s="196"/>
      <c r="U154" s="196"/>
      <c r="V154" s="135"/>
      <c r="X154" s="200"/>
      <c r="Y154" s="200"/>
      <c r="Z154" s="200"/>
      <c r="AA154" s="199"/>
    </row>
    <row r="155" spans="1:27" x14ac:dyDescent="0.25">
      <c r="A155" s="141"/>
      <c r="B155" s="178"/>
      <c r="C155" s="178"/>
      <c r="D155" s="178"/>
      <c r="E155" s="178"/>
      <c r="F155" s="178"/>
      <c r="G155" s="178"/>
      <c r="H155" s="178"/>
      <c r="I155" s="178"/>
      <c r="J155" s="178"/>
      <c r="K155" s="178"/>
      <c r="L155" s="178"/>
      <c r="M155" s="178"/>
      <c r="N155" s="178"/>
      <c r="O155" s="178"/>
      <c r="P155" s="178"/>
      <c r="Q155" s="178"/>
      <c r="R155" s="207"/>
      <c r="S155" s="140"/>
      <c r="T155" s="135"/>
      <c r="U155" s="135"/>
      <c r="V155" s="135"/>
      <c r="X155" s="208"/>
    </row>
    <row r="156" spans="1:27" x14ac:dyDescent="0.25">
      <c r="A156" s="141"/>
      <c r="B156" s="142"/>
      <c r="C156" s="142"/>
      <c r="D156" s="142"/>
      <c r="E156" s="142"/>
      <c r="F156" s="142"/>
      <c r="G156" s="142"/>
      <c r="H156" s="142"/>
      <c r="I156" s="181"/>
      <c r="J156" s="181"/>
      <c r="K156" s="181"/>
      <c r="L156" s="181"/>
      <c r="M156" s="181"/>
      <c r="N156" s="181"/>
      <c r="O156" s="181"/>
      <c r="P156" s="181"/>
      <c r="Q156" s="181"/>
      <c r="R156" s="190"/>
      <c r="S156" s="191"/>
      <c r="T156" s="196"/>
      <c r="U156" s="196"/>
      <c r="V156" s="196"/>
    </row>
    <row r="157" spans="1:27" ht="13.8" thickBot="1" x14ac:dyDescent="0.3">
      <c r="A157" s="209"/>
      <c r="B157" s="210"/>
      <c r="C157" s="210"/>
      <c r="D157" s="210"/>
      <c r="E157" s="210"/>
      <c r="F157" s="210"/>
      <c r="G157" s="210"/>
      <c r="H157" s="210"/>
      <c r="I157" s="210"/>
      <c r="J157" s="210"/>
      <c r="K157" s="210"/>
      <c r="L157" s="210"/>
      <c r="M157" s="210"/>
      <c r="N157" s="210"/>
      <c r="O157" s="210"/>
      <c r="P157" s="210"/>
      <c r="Q157" s="210"/>
      <c r="R157" s="211"/>
      <c r="S157" s="140"/>
      <c r="T157" s="196"/>
      <c r="U157" s="135"/>
      <c r="V157" s="196"/>
      <c r="X157" s="212"/>
    </row>
    <row r="158" spans="1:27" ht="13.8" thickTop="1" x14ac:dyDescent="0.25">
      <c r="T158" s="135"/>
      <c r="U158" s="135"/>
      <c r="V158" s="135"/>
    </row>
    <row r="159" spans="1:27" x14ac:dyDescent="0.25">
      <c r="A159" s="135"/>
      <c r="B159" s="135"/>
      <c r="C159" s="135"/>
      <c r="D159" s="135"/>
      <c r="E159" s="135"/>
      <c r="F159" s="135"/>
      <c r="G159" s="135"/>
      <c r="H159" s="135"/>
      <c r="I159" s="135"/>
      <c r="J159" s="135"/>
      <c r="K159" s="135"/>
      <c r="L159" s="135"/>
      <c r="M159" s="135"/>
      <c r="N159" s="135"/>
      <c r="O159" s="135"/>
      <c r="P159" s="135"/>
      <c r="Q159" s="135"/>
      <c r="R159" s="135"/>
      <c r="S159" s="136"/>
      <c r="T159" s="135"/>
      <c r="U159" s="135"/>
      <c r="V159" s="135"/>
    </row>
    <row r="160" spans="1:27" x14ac:dyDescent="0.25">
      <c r="A160" s="135"/>
      <c r="B160" s="135"/>
      <c r="C160" s="135"/>
      <c r="D160" s="135"/>
      <c r="E160" s="135"/>
      <c r="F160" s="135"/>
      <c r="G160" s="135"/>
      <c r="H160" s="135"/>
      <c r="I160" s="135"/>
      <c r="J160" s="135"/>
      <c r="K160" s="135"/>
      <c r="L160" s="135"/>
      <c r="M160" s="135"/>
      <c r="N160" s="135"/>
      <c r="O160" s="135"/>
      <c r="P160" s="135"/>
      <c r="Q160" s="135"/>
      <c r="R160" s="135"/>
      <c r="S160" s="136"/>
      <c r="T160" s="135"/>
      <c r="U160" s="135"/>
      <c r="V160" s="135"/>
    </row>
    <row r="161" spans="1:22" x14ac:dyDescent="0.25">
      <c r="A161" s="135"/>
      <c r="B161" s="135"/>
      <c r="C161" s="135"/>
      <c r="D161" s="135"/>
      <c r="E161" s="135"/>
      <c r="F161" s="135"/>
      <c r="G161" s="135"/>
      <c r="H161" s="135"/>
      <c r="I161" s="135"/>
      <c r="J161" s="135"/>
      <c r="K161" s="135"/>
      <c r="L161" s="135"/>
      <c r="M161" s="135"/>
      <c r="N161" s="135"/>
      <c r="O161" s="135"/>
      <c r="P161" s="135"/>
      <c r="Q161" s="135"/>
      <c r="R161" s="135"/>
      <c r="S161" s="136"/>
      <c r="T161" s="135"/>
      <c r="U161" s="135"/>
      <c r="V161" s="135"/>
    </row>
    <row r="162" spans="1:22" x14ac:dyDescent="0.25">
      <c r="A162" s="135"/>
      <c r="B162" s="135"/>
      <c r="C162" s="135"/>
      <c r="D162" s="135"/>
      <c r="E162" s="135"/>
      <c r="F162" s="135"/>
      <c r="G162" s="135"/>
      <c r="H162" s="135"/>
      <c r="I162" s="135"/>
      <c r="J162" s="135"/>
      <c r="K162" s="135"/>
      <c r="L162" s="135"/>
      <c r="M162" s="135"/>
      <c r="N162" s="135"/>
      <c r="O162" s="135"/>
      <c r="P162" s="135"/>
      <c r="Q162" s="135"/>
      <c r="R162" s="135"/>
      <c r="S162" s="136"/>
      <c r="T162" s="135"/>
      <c r="U162" s="135"/>
      <c r="V162" s="135"/>
    </row>
  </sheetData>
  <mergeCells count="3">
    <mergeCell ref="Q26:R28"/>
    <mergeCell ref="Q74:R76"/>
    <mergeCell ref="Q122:R124"/>
  </mergeCells>
  <conditionalFormatting sqref="X36">
    <cfRule type="cellIs" dxfId="71" priority="72" operator="lessThan">
      <formula>$Y$29</formula>
    </cfRule>
  </conditionalFormatting>
  <conditionalFormatting sqref="X132">
    <cfRule type="cellIs" dxfId="70" priority="24" operator="lessThan">
      <formula>$Y$29</formula>
    </cfRule>
  </conditionalFormatting>
  <conditionalFormatting sqref="Y36:Z36">
    <cfRule type="cellIs" dxfId="69" priority="71" operator="lessThan">
      <formula>$Y$29</formula>
    </cfRule>
  </conditionalFormatting>
  <conditionalFormatting sqref="X38">
    <cfRule type="cellIs" dxfId="68" priority="70" operator="lessThan">
      <formula>$Y$29</formula>
    </cfRule>
  </conditionalFormatting>
  <conditionalFormatting sqref="Y38:Z38">
    <cfRule type="cellIs" dxfId="67" priority="69" operator="lessThan">
      <formula>$Y$29</formula>
    </cfRule>
  </conditionalFormatting>
  <conditionalFormatting sqref="X40">
    <cfRule type="cellIs" dxfId="66" priority="68" operator="lessThan">
      <formula>$Y$29</formula>
    </cfRule>
  </conditionalFormatting>
  <conditionalFormatting sqref="Y40:Z40">
    <cfRule type="cellIs" dxfId="65" priority="67" operator="lessThan">
      <formula>$Y$29</formula>
    </cfRule>
  </conditionalFormatting>
  <conditionalFormatting sqref="X42">
    <cfRule type="cellIs" dxfId="64" priority="66" operator="lessThan">
      <formula>$Y$29</formula>
    </cfRule>
  </conditionalFormatting>
  <conditionalFormatting sqref="Y42:Z42">
    <cfRule type="cellIs" dxfId="63" priority="65" operator="lessThan">
      <formula>$Y$29</formula>
    </cfRule>
  </conditionalFormatting>
  <conditionalFormatting sqref="X44">
    <cfRule type="cellIs" dxfId="62" priority="64" operator="lessThan">
      <formula>$Y$29</formula>
    </cfRule>
  </conditionalFormatting>
  <conditionalFormatting sqref="Y44:Z44">
    <cfRule type="cellIs" dxfId="61" priority="63" operator="lessThan">
      <formula>$Y$29</formula>
    </cfRule>
  </conditionalFormatting>
  <conditionalFormatting sqref="X46">
    <cfRule type="cellIs" dxfId="60" priority="62" operator="lessThan">
      <formula>$Y$29</formula>
    </cfRule>
  </conditionalFormatting>
  <conditionalFormatting sqref="Y46:Z46">
    <cfRule type="cellIs" dxfId="59" priority="61" operator="lessThan">
      <formula>$Y$29</formula>
    </cfRule>
  </conditionalFormatting>
  <conditionalFormatting sqref="X48">
    <cfRule type="cellIs" dxfId="58" priority="60" operator="lessThan">
      <formula>$Y$29</formula>
    </cfRule>
  </conditionalFormatting>
  <conditionalFormatting sqref="Y48:Z48">
    <cfRule type="cellIs" dxfId="57" priority="59" operator="lessThan">
      <formula>$Y$29</formula>
    </cfRule>
  </conditionalFormatting>
  <conditionalFormatting sqref="X50">
    <cfRule type="cellIs" dxfId="56" priority="58" operator="lessThan">
      <formula>$Y$29</formula>
    </cfRule>
  </conditionalFormatting>
  <conditionalFormatting sqref="Y50:Z50">
    <cfRule type="cellIs" dxfId="55" priority="57" operator="lessThan">
      <formula>$Y$29</formula>
    </cfRule>
  </conditionalFormatting>
  <conditionalFormatting sqref="X52">
    <cfRule type="cellIs" dxfId="54" priority="56" operator="lessThan">
      <formula>$Y$29</formula>
    </cfRule>
  </conditionalFormatting>
  <conditionalFormatting sqref="Y52:Z52">
    <cfRule type="cellIs" dxfId="53" priority="55" operator="lessThan">
      <formula>$Y$29</formula>
    </cfRule>
  </conditionalFormatting>
  <conditionalFormatting sqref="X54">
    <cfRule type="cellIs" dxfId="52" priority="54" operator="lessThan">
      <formula>$Y$29</formula>
    </cfRule>
  </conditionalFormatting>
  <conditionalFormatting sqref="Y54:Z54">
    <cfRule type="cellIs" dxfId="51" priority="53" operator="lessThan">
      <formula>$Y$29</formula>
    </cfRule>
  </conditionalFormatting>
  <conditionalFormatting sqref="X56">
    <cfRule type="cellIs" dxfId="50" priority="52" operator="lessThan">
      <formula>$Y$29</formula>
    </cfRule>
  </conditionalFormatting>
  <conditionalFormatting sqref="Y56:Z56">
    <cfRule type="cellIs" dxfId="49" priority="51" operator="lessThan">
      <formula>$Y$29</formula>
    </cfRule>
  </conditionalFormatting>
  <conditionalFormatting sqref="X58">
    <cfRule type="cellIs" dxfId="48" priority="50" operator="lessThan">
      <formula>$Y$29</formula>
    </cfRule>
  </conditionalFormatting>
  <conditionalFormatting sqref="Y58:Z58">
    <cfRule type="cellIs" dxfId="47" priority="49" operator="lessThan">
      <formula>$Y$29</formula>
    </cfRule>
  </conditionalFormatting>
  <conditionalFormatting sqref="Y154:Z154">
    <cfRule type="cellIs" dxfId="46" priority="1" operator="lessThan">
      <formula>$Y$29</formula>
    </cfRule>
  </conditionalFormatting>
  <conditionalFormatting sqref="X84">
    <cfRule type="cellIs" dxfId="45" priority="48" operator="lessThan">
      <formula>$Y$29</formula>
    </cfRule>
  </conditionalFormatting>
  <conditionalFormatting sqref="Y84:Z84">
    <cfRule type="cellIs" dxfId="44" priority="47" operator="lessThan">
      <formula>$Y$29</formula>
    </cfRule>
  </conditionalFormatting>
  <conditionalFormatting sqref="X86">
    <cfRule type="cellIs" dxfId="43" priority="46" operator="lessThan">
      <formula>$Y$29</formula>
    </cfRule>
  </conditionalFormatting>
  <conditionalFormatting sqref="Y86:Z86">
    <cfRule type="cellIs" dxfId="42" priority="45" operator="lessThan">
      <formula>$Y$29</formula>
    </cfRule>
  </conditionalFormatting>
  <conditionalFormatting sqref="X88">
    <cfRule type="cellIs" dxfId="41" priority="44" operator="lessThan">
      <formula>$Y$29</formula>
    </cfRule>
  </conditionalFormatting>
  <conditionalFormatting sqref="Y88:Z88">
    <cfRule type="cellIs" dxfId="40" priority="43" operator="lessThan">
      <formula>$Y$29</formula>
    </cfRule>
  </conditionalFormatting>
  <conditionalFormatting sqref="X90">
    <cfRule type="cellIs" dxfId="39" priority="42" operator="lessThan">
      <formula>$Y$29</formula>
    </cfRule>
  </conditionalFormatting>
  <conditionalFormatting sqref="Y90:Z90">
    <cfRule type="cellIs" dxfId="38" priority="41" operator="lessThan">
      <formula>$Y$29</formula>
    </cfRule>
  </conditionalFormatting>
  <conditionalFormatting sqref="X92">
    <cfRule type="cellIs" dxfId="37" priority="40" operator="lessThan">
      <formula>$Y$29</formula>
    </cfRule>
  </conditionalFormatting>
  <conditionalFormatting sqref="Y92:Z92">
    <cfRule type="cellIs" dxfId="36" priority="39" operator="lessThan">
      <formula>$Y$29</formula>
    </cfRule>
  </conditionalFormatting>
  <conditionalFormatting sqref="X94">
    <cfRule type="cellIs" dxfId="35" priority="38" operator="lessThan">
      <formula>$Y$29</formula>
    </cfRule>
  </conditionalFormatting>
  <conditionalFormatting sqref="Y94:Z94">
    <cfRule type="cellIs" dxfId="34" priority="37" operator="lessThan">
      <formula>$Y$29</formula>
    </cfRule>
  </conditionalFormatting>
  <conditionalFormatting sqref="X96">
    <cfRule type="cellIs" dxfId="33" priority="36" operator="lessThan">
      <formula>$Y$29</formula>
    </cfRule>
  </conditionalFormatting>
  <conditionalFormatting sqref="Y96:Z96">
    <cfRule type="cellIs" dxfId="32" priority="35" operator="lessThan">
      <formula>$Y$29</formula>
    </cfRule>
  </conditionalFormatting>
  <conditionalFormatting sqref="X98">
    <cfRule type="cellIs" dxfId="31" priority="34" operator="lessThan">
      <formula>$Y$29</formula>
    </cfRule>
  </conditionalFormatting>
  <conditionalFormatting sqref="Y98:Z98">
    <cfRule type="cellIs" dxfId="30" priority="33" operator="lessThan">
      <formula>$Y$29</formula>
    </cfRule>
  </conditionalFormatting>
  <conditionalFormatting sqref="X100">
    <cfRule type="cellIs" dxfId="29" priority="32" operator="lessThan">
      <formula>$Y$29</formula>
    </cfRule>
  </conditionalFormatting>
  <conditionalFormatting sqref="Y100:Z100">
    <cfRule type="cellIs" dxfId="28" priority="31" operator="lessThan">
      <formula>$Y$29</formula>
    </cfRule>
  </conditionalFormatting>
  <conditionalFormatting sqref="X102">
    <cfRule type="cellIs" dxfId="27" priority="30" operator="lessThan">
      <formula>$Y$29</formula>
    </cfRule>
  </conditionalFormatting>
  <conditionalFormatting sqref="Y102:Z102">
    <cfRule type="cellIs" dxfId="26" priority="29" operator="lessThan">
      <formula>$Y$29</formula>
    </cfRule>
  </conditionalFormatting>
  <conditionalFormatting sqref="X104">
    <cfRule type="cellIs" dxfId="25" priority="28" operator="lessThan">
      <formula>$Y$29</formula>
    </cfRule>
  </conditionalFormatting>
  <conditionalFormatting sqref="Y104:Z104">
    <cfRule type="cellIs" dxfId="24" priority="27" operator="lessThan">
      <formula>$Y$29</formula>
    </cfRule>
  </conditionalFormatting>
  <conditionalFormatting sqref="X106">
    <cfRule type="cellIs" dxfId="23" priority="26" operator="lessThan">
      <formula>$Y$29</formula>
    </cfRule>
  </conditionalFormatting>
  <conditionalFormatting sqref="Y106:Z106">
    <cfRule type="cellIs" dxfId="22" priority="25" operator="lessThan">
      <formula>$Y$29</formula>
    </cfRule>
  </conditionalFormatting>
  <conditionalFormatting sqref="Y132:Z132">
    <cfRule type="cellIs" dxfId="21" priority="23" operator="lessThan">
      <formula>$Y$29</formula>
    </cfRule>
  </conditionalFormatting>
  <conditionalFormatting sqref="X134">
    <cfRule type="cellIs" dxfId="20" priority="22" operator="lessThan">
      <formula>$Y$29</formula>
    </cfRule>
  </conditionalFormatting>
  <conditionalFormatting sqref="Y134:Z134">
    <cfRule type="cellIs" dxfId="19" priority="21" operator="lessThan">
      <formula>$Y$29</formula>
    </cfRule>
  </conditionalFormatting>
  <conditionalFormatting sqref="X136">
    <cfRule type="cellIs" dxfId="18" priority="20" operator="lessThan">
      <formula>$Y$29</formula>
    </cfRule>
  </conditionalFormatting>
  <conditionalFormatting sqref="Y136:Z136">
    <cfRule type="cellIs" dxfId="17" priority="19" operator="lessThan">
      <formula>$Y$29</formula>
    </cfRule>
  </conditionalFormatting>
  <conditionalFormatting sqref="X138">
    <cfRule type="cellIs" dxfId="16" priority="18" operator="lessThan">
      <formula>$Y$29</formula>
    </cfRule>
  </conditionalFormatting>
  <conditionalFormatting sqref="Y138:Z138">
    <cfRule type="cellIs" dxfId="15" priority="17" operator="lessThan">
      <formula>$Y$29</formula>
    </cfRule>
  </conditionalFormatting>
  <conditionalFormatting sqref="X140">
    <cfRule type="cellIs" dxfId="14" priority="16" operator="lessThan">
      <formula>$Y$29</formula>
    </cfRule>
  </conditionalFormatting>
  <conditionalFormatting sqref="Y140:Z140">
    <cfRule type="cellIs" dxfId="13" priority="15" operator="lessThan">
      <formula>$Y$29</formula>
    </cfRule>
  </conditionalFormatting>
  <conditionalFormatting sqref="X142">
    <cfRule type="cellIs" dxfId="12" priority="14" operator="lessThan">
      <formula>$Y$29</formula>
    </cfRule>
  </conditionalFormatting>
  <conditionalFormatting sqref="Y142:Z142">
    <cfRule type="cellIs" dxfId="11" priority="13" operator="lessThan">
      <formula>$Y$29</formula>
    </cfRule>
  </conditionalFormatting>
  <conditionalFormatting sqref="X144">
    <cfRule type="cellIs" dxfId="10" priority="12" operator="lessThan">
      <formula>$Y$29</formula>
    </cfRule>
  </conditionalFormatting>
  <conditionalFormatting sqref="Y144:Z144">
    <cfRule type="cellIs" dxfId="9" priority="11" operator="lessThan">
      <formula>$Y$29</formula>
    </cfRule>
  </conditionalFormatting>
  <conditionalFormatting sqref="X146">
    <cfRule type="cellIs" dxfId="8" priority="10" operator="lessThan">
      <formula>$Y$29</formula>
    </cfRule>
  </conditionalFormatting>
  <conditionalFormatting sqref="Y146:Z146">
    <cfRule type="cellIs" dxfId="7" priority="9" operator="lessThan">
      <formula>$Y$29</formula>
    </cfRule>
  </conditionalFormatting>
  <conditionalFormatting sqref="X148">
    <cfRule type="cellIs" dxfId="6" priority="8" operator="lessThan">
      <formula>$Y$29</formula>
    </cfRule>
  </conditionalFormatting>
  <conditionalFormatting sqref="Y148:Z148">
    <cfRule type="cellIs" dxfId="5" priority="7" operator="lessThan">
      <formula>$Y$29</formula>
    </cfRule>
  </conditionalFormatting>
  <conditionalFormatting sqref="X150">
    <cfRule type="cellIs" dxfId="4" priority="6" operator="lessThan">
      <formula>$Y$29</formula>
    </cfRule>
  </conditionalFormatting>
  <conditionalFormatting sqref="Y150:Z150">
    <cfRule type="cellIs" dxfId="3" priority="5" operator="lessThan">
      <formula>$Y$29</formula>
    </cfRule>
  </conditionalFormatting>
  <conditionalFormatting sqref="X152">
    <cfRule type="cellIs" dxfId="2" priority="4" operator="lessThan">
      <formula>$Y$29</formula>
    </cfRule>
  </conditionalFormatting>
  <conditionalFormatting sqref="Y152:Z152">
    <cfRule type="cellIs" dxfId="1" priority="3" operator="lessThan">
      <formula>$Y$29</formula>
    </cfRule>
  </conditionalFormatting>
  <conditionalFormatting sqref="X154">
    <cfRule type="cellIs" dxfId="0" priority="2" operator="lessThan">
      <formula>$Y$29</formula>
    </cfRule>
  </conditionalFormatting>
  <pageMargins left="0.75" right="0.75" top="1" bottom="1" header="0.5" footer="0.5"/>
  <pageSetup paperSize="3" scale="3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O266"/>
  <sheetViews>
    <sheetView zoomScale="110" zoomScaleNormal="110" workbookViewId="0">
      <pane xSplit="1" ySplit="6" topLeftCell="B7" activePane="bottomRight" state="frozen"/>
      <selection activeCell="K3" sqref="K3"/>
      <selection pane="topRight" activeCell="K3" sqref="K3"/>
      <selection pane="bottomLeft" activeCell="K3" sqref="K3"/>
      <selection pane="bottomRight" activeCell="I191" sqref="I191"/>
    </sheetView>
  </sheetViews>
  <sheetFormatPr defaultColWidth="9.109375" defaultRowHeight="13.2" x14ac:dyDescent="0.25"/>
  <cols>
    <col min="1" max="1" width="20.44140625" style="336" customWidth="1"/>
    <col min="2" max="2" width="18.44140625" style="336" customWidth="1"/>
    <col min="3" max="3" width="12.88671875" style="336" customWidth="1"/>
    <col min="4" max="4" width="13.5546875" style="336" customWidth="1"/>
    <col min="5" max="5" width="12.109375" style="336" customWidth="1"/>
    <col min="6" max="6" width="15.44140625" style="336" customWidth="1"/>
    <col min="7" max="7" width="15.88671875" style="336" customWidth="1"/>
    <col min="8" max="8" width="17.33203125" style="336" customWidth="1"/>
    <col min="9" max="9" width="17.109375" style="336" customWidth="1"/>
    <col min="10" max="10" width="19.109375" style="336" customWidth="1"/>
    <col min="11" max="11" width="15.5546875" style="336" customWidth="1"/>
    <col min="12" max="12" width="6.109375" style="336" customWidth="1"/>
    <col min="13" max="13" width="9.109375" style="336"/>
    <col min="14" max="14" width="12.33203125" style="336" bestFit="1" customWidth="1"/>
    <col min="15" max="15" width="12" style="336" customWidth="1"/>
    <col min="16" max="16384" width="9.109375" style="336"/>
  </cols>
  <sheetData>
    <row r="2" spans="1:15" ht="17.399999999999999" x14ac:dyDescent="0.3">
      <c r="A2" s="336" t="s">
        <v>432</v>
      </c>
      <c r="B2" s="336" t="s">
        <v>278</v>
      </c>
      <c r="C2" s="337" t="s">
        <v>278</v>
      </c>
      <c r="D2" s="336" t="s">
        <v>278</v>
      </c>
      <c r="F2" s="336" t="s">
        <v>278</v>
      </c>
      <c r="H2" s="338" t="s">
        <v>433</v>
      </c>
      <c r="J2" s="339">
        <v>30.2</v>
      </c>
    </row>
    <row r="4" spans="1:15" ht="13.8" thickBot="1" x14ac:dyDescent="0.3"/>
    <row r="5" spans="1:15" x14ac:dyDescent="0.25">
      <c r="A5" s="340"/>
      <c r="B5" s="341" t="s">
        <v>434</v>
      </c>
      <c r="C5" s="342" t="s">
        <v>435</v>
      </c>
      <c r="D5" s="342" t="s">
        <v>436</v>
      </c>
      <c r="E5" s="342"/>
      <c r="F5" s="342" t="s">
        <v>437</v>
      </c>
      <c r="G5" s="342"/>
      <c r="H5" s="342" t="s">
        <v>438</v>
      </c>
      <c r="I5" s="342" t="s">
        <v>436</v>
      </c>
      <c r="J5" s="342" t="s">
        <v>439</v>
      </c>
      <c r="K5" s="343" t="s">
        <v>440</v>
      </c>
    </row>
    <row r="6" spans="1:15" ht="13.8" thickBot="1" x14ac:dyDescent="0.3">
      <c r="A6" s="344"/>
      <c r="B6" s="345" t="s">
        <v>254</v>
      </c>
      <c r="C6" s="346" t="s">
        <v>441</v>
      </c>
      <c r="D6" s="346" t="s">
        <v>442</v>
      </c>
      <c r="E6" s="346" t="s">
        <v>443</v>
      </c>
      <c r="F6" s="346" t="s">
        <v>47</v>
      </c>
      <c r="G6" s="346" t="s">
        <v>444</v>
      </c>
      <c r="H6" s="346" t="s">
        <v>445</v>
      </c>
      <c r="I6" s="346" t="s">
        <v>446</v>
      </c>
      <c r="J6" s="346" t="s">
        <v>447</v>
      </c>
      <c r="K6" s="347" t="s">
        <v>230</v>
      </c>
    </row>
    <row r="7" spans="1:15" x14ac:dyDescent="0.25">
      <c r="A7" s="348" t="s">
        <v>278</v>
      </c>
      <c r="B7" s="349"/>
      <c r="C7" s="350"/>
      <c r="D7" s="351"/>
      <c r="E7" s="351"/>
      <c r="F7" s="351"/>
      <c r="G7" s="351"/>
      <c r="H7" s="351"/>
      <c r="I7" s="351"/>
      <c r="J7" s="351"/>
      <c r="K7" s="351"/>
      <c r="L7" s="352"/>
      <c r="M7" s="352"/>
      <c r="N7" s="352" t="s">
        <v>278</v>
      </c>
      <c r="O7" s="352"/>
    </row>
    <row r="8" spans="1:15" hidden="1" x14ac:dyDescent="0.25">
      <c r="A8" s="353" t="s">
        <v>448</v>
      </c>
      <c r="B8" s="354"/>
      <c r="C8" s="355"/>
      <c r="D8" s="355"/>
      <c r="E8" s="356"/>
      <c r="F8" s="357"/>
      <c r="G8" s="358"/>
      <c r="H8" s="359"/>
      <c r="I8" s="360"/>
      <c r="J8" s="361"/>
      <c r="K8" s="361"/>
      <c r="L8" s="352"/>
      <c r="M8" s="352"/>
      <c r="N8" s="352"/>
      <c r="O8" s="352"/>
    </row>
    <row r="9" spans="1:15" hidden="1" x14ac:dyDescent="0.25">
      <c r="A9" s="362" t="s">
        <v>449</v>
      </c>
      <c r="B9" s="363">
        <v>317439</v>
      </c>
      <c r="C9" s="364">
        <v>-136844</v>
      </c>
      <c r="D9" s="364">
        <v>-169698</v>
      </c>
      <c r="E9" s="365" t="s">
        <v>450</v>
      </c>
      <c r="F9" s="366"/>
      <c r="G9" s="367" t="s">
        <v>278</v>
      </c>
      <c r="H9" s="368">
        <v>-4652696</v>
      </c>
      <c r="I9" s="369">
        <v>-5064516.9996453645</v>
      </c>
      <c r="J9" s="370">
        <v>10791940.6353656</v>
      </c>
      <c r="K9" s="371">
        <v>33.996895892960893</v>
      </c>
      <c r="L9" s="352"/>
      <c r="M9" s="352"/>
      <c r="N9" s="352"/>
      <c r="O9" s="352"/>
    </row>
    <row r="10" spans="1:15" hidden="1" x14ac:dyDescent="0.25">
      <c r="L10" s="352"/>
      <c r="M10" s="352"/>
      <c r="N10" s="352"/>
      <c r="O10" s="352"/>
    </row>
    <row r="11" spans="1:15" hidden="1" x14ac:dyDescent="0.25">
      <c r="A11" s="372">
        <v>38961</v>
      </c>
      <c r="B11" s="373">
        <v>328120</v>
      </c>
      <c r="C11" s="374">
        <f>B11-B9</f>
        <v>10681</v>
      </c>
      <c r="D11" s="375">
        <f>+C11+D9</f>
        <v>-159017</v>
      </c>
      <c r="E11" s="376">
        <v>1.7150000000000001</v>
      </c>
      <c r="F11" s="377">
        <v>20.294521</v>
      </c>
      <c r="G11" s="378">
        <f t="shared" ref="G11:G17" si="0">E11*F11</f>
        <v>34.805103514999999</v>
      </c>
      <c r="H11" s="379">
        <f t="shared" ref="H11:H17" si="1">+C11*G11</f>
        <v>371753.31064371497</v>
      </c>
      <c r="I11" s="380">
        <f>+H11+I9</f>
        <v>-4692763.6890016496</v>
      </c>
      <c r="J11" s="381">
        <f>J9+H11</f>
        <v>11163693.946009316</v>
      </c>
      <c r="K11" s="381">
        <f t="shared" ref="K11:K17" si="2">J11/+B11</f>
        <v>34.023204760481882</v>
      </c>
      <c r="L11" s="352"/>
      <c r="M11" s="352"/>
      <c r="N11" s="352"/>
      <c r="O11" s="352"/>
    </row>
    <row r="12" spans="1:15" hidden="1" x14ac:dyDescent="0.25">
      <c r="A12" s="372">
        <v>38995</v>
      </c>
      <c r="B12" s="373">
        <v>404932</v>
      </c>
      <c r="C12" s="382">
        <f t="shared" ref="C12:C17" si="3">B12-B11</f>
        <v>76812</v>
      </c>
      <c r="D12" s="383">
        <f t="shared" ref="D12:D17" si="4">+C12+D11</f>
        <v>-82205</v>
      </c>
      <c r="E12" s="376">
        <v>1.7150000000000001</v>
      </c>
      <c r="F12" s="377">
        <v>20.730734000000002</v>
      </c>
      <c r="G12" s="384">
        <f t="shared" si="0"/>
        <v>35.553208810000008</v>
      </c>
      <c r="H12" s="385">
        <f t="shared" si="1"/>
        <v>2730913.0751137207</v>
      </c>
      <c r="I12" s="386">
        <f>+H12+I11</f>
        <v>-1961850.6138879289</v>
      </c>
      <c r="J12" s="385">
        <f>J11+H12+0.01</f>
        <v>13894607.031123037</v>
      </c>
      <c r="K12" s="387">
        <f t="shared" si="2"/>
        <v>34.313432949539767</v>
      </c>
      <c r="L12" s="352"/>
      <c r="M12" s="352"/>
      <c r="N12" s="352"/>
      <c r="O12" s="352"/>
    </row>
    <row r="13" spans="1:15" hidden="1" x14ac:dyDescent="0.25">
      <c r="A13" s="372">
        <v>39026</v>
      </c>
      <c r="B13" s="373">
        <v>453459</v>
      </c>
      <c r="C13" s="382">
        <f t="shared" si="3"/>
        <v>48527</v>
      </c>
      <c r="D13" s="383">
        <f t="shared" si="4"/>
        <v>-33678</v>
      </c>
      <c r="E13" s="376">
        <v>1.7150000000000001</v>
      </c>
      <c r="F13" s="377">
        <v>20.706132</v>
      </c>
      <c r="G13" s="384">
        <f>E13*F13</f>
        <v>35.511016380000001</v>
      </c>
      <c r="H13" s="385">
        <f t="shared" si="1"/>
        <v>1723243.09187226</v>
      </c>
      <c r="I13" s="386">
        <f>+H13+I12</f>
        <v>-238607.52201566892</v>
      </c>
      <c r="J13" s="385">
        <f>J12+H13</f>
        <v>15617850.122995296</v>
      </c>
      <c r="K13" s="387">
        <f t="shared" si="2"/>
        <v>34.441592565138848</v>
      </c>
      <c r="L13" s="352"/>
      <c r="M13" s="352"/>
      <c r="N13" s="352"/>
      <c r="O13" s="352"/>
    </row>
    <row r="14" spans="1:15" ht="13.8" hidden="1" thickBot="1" x14ac:dyDescent="0.3">
      <c r="A14" s="388">
        <v>39056</v>
      </c>
      <c r="B14" s="389">
        <v>525562</v>
      </c>
      <c r="C14" s="390">
        <f t="shared" si="3"/>
        <v>72103</v>
      </c>
      <c r="D14" s="391">
        <f t="shared" si="4"/>
        <v>38425</v>
      </c>
      <c r="E14" s="392">
        <v>1.7150000000000001</v>
      </c>
      <c r="F14" s="393">
        <v>20.1547816</v>
      </c>
      <c r="G14" s="394">
        <f t="shared" si="0"/>
        <v>34.565450444</v>
      </c>
      <c r="H14" s="395">
        <f t="shared" si="1"/>
        <v>2492272.6733637322</v>
      </c>
      <c r="I14" s="396">
        <f>+H14+I13</f>
        <v>2253665.1513480633</v>
      </c>
      <c r="J14" s="397">
        <f>J13+H14-0.01</f>
        <v>18110122.786359027</v>
      </c>
      <c r="K14" s="398">
        <f t="shared" si="2"/>
        <v>34.458584879346354</v>
      </c>
      <c r="L14" s="352"/>
      <c r="M14" s="352"/>
      <c r="N14" s="352"/>
      <c r="O14" s="352"/>
    </row>
    <row r="15" spans="1:15" hidden="1" x14ac:dyDescent="0.25">
      <c r="A15" s="348">
        <v>39087</v>
      </c>
      <c r="B15" s="399">
        <v>577181</v>
      </c>
      <c r="C15" s="382">
        <f t="shared" si="3"/>
        <v>51619</v>
      </c>
      <c r="D15" s="383">
        <f>+C15+D14</f>
        <v>90044</v>
      </c>
      <c r="E15" s="400">
        <v>1.8312449099999999</v>
      </c>
      <c r="F15" s="401">
        <v>22.339257</v>
      </c>
      <c r="G15" s="384">
        <f t="shared" si="0"/>
        <v>40.908650674431868</v>
      </c>
      <c r="H15" s="402">
        <f t="shared" si="1"/>
        <v>2111663.6391634988</v>
      </c>
      <c r="I15" s="386">
        <f>+H15</f>
        <v>2111663.6391634988</v>
      </c>
      <c r="J15" s="402">
        <f>J14+H15</f>
        <v>20221786.425522525</v>
      </c>
      <c r="K15" s="387">
        <f t="shared" si="2"/>
        <v>35.035433296526612</v>
      </c>
      <c r="L15" s="352"/>
      <c r="M15" s="352"/>
      <c r="N15" s="352"/>
      <c r="O15" s="352"/>
    </row>
    <row r="16" spans="1:15" hidden="1" x14ac:dyDescent="0.25">
      <c r="A16" s="348">
        <v>39118</v>
      </c>
      <c r="B16" s="399">
        <v>615270</v>
      </c>
      <c r="C16" s="382">
        <f t="shared" si="3"/>
        <v>38089</v>
      </c>
      <c r="D16" s="383">
        <f t="shared" si="4"/>
        <v>128133</v>
      </c>
      <c r="E16" s="400">
        <v>1.8312449099999999</v>
      </c>
      <c r="F16" s="401">
        <v>22.784293000000002</v>
      </c>
      <c r="G16" s="384">
        <f t="shared" si="0"/>
        <v>41.723620584198628</v>
      </c>
      <c r="H16" s="402">
        <f t="shared" si="1"/>
        <v>1589210.9844315415</v>
      </c>
      <c r="I16" s="386">
        <f>+H16+I15</f>
        <v>3700874.6235950403</v>
      </c>
      <c r="J16" s="402">
        <f>J15+H16</f>
        <v>21810997.409954067</v>
      </c>
      <c r="K16" s="387">
        <f t="shared" si="2"/>
        <v>35.44947325556921</v>
      </c>
      <c r="L16" s="352"/>
      <c r="M16" s="352"/>
      <c r="N16" s="352"/>
      <c r="O16" s="352"/>
    </row>
    <row r="17" spans="1:15" hidden="1" x14ac:dyDescent="0.25">
      <c r="A17" s="348">
        <v>39146</v>
      </c>
      <c r="B17" s="399">
        <v>633525</v>
      </c>
      <c r="C17" s="382">
        <f t="shared" si="3"/>
        <v>18255</v>
      </c>
      <c r="D17" s="383">
        <f t="shared" si="4"/>
        <v>146388</v>
      </c>
      <c r="E17" s="400">
        <v>1.8312449099999999</v>
      </c>
      <c r="F17" s="403">
        <v>22.784293000000002</v>
      </c>
      <c r="G17" s="384">
        <f t="shared" si="0"/>
        <v>41.723620584198628</v>
      </c>
      <c r="H17" s="402">
        <f t="shared" si="1"/>
        <v>761664.69376454595</v>
      </c>
      <c r="I17" s="386">
        <f>+H17+I16</f>
        <v>4462539.3173595862</v>
      </c>
      <c r="J17" s="402">
        <f>J16+H17</f>
        <v>22572662.103718612</v>
      </c>
      <c r="K17" s="387">
        <f t="shared" si="2"/>
        <v>35.630262584299928</v>
      </c>
    </row>
    <row r="18" spans="1:15" hidden="1" x14ac:dyDescent="0.25">
      <c r="A18" s="348"/>
      <c r="B18" s="399"/>
      <c r="C18" s="382"/>
      <c r="D18" s="383"/>
      <c r="E18" s="376"/>
      <c r="F18" s="401"/>
      <c r="G18" s="384"/>
      <c r="H18" s="402"/>
      <c r="I18" s="386"/>
      <c r="J18" s="404"/>
      <c r="K18" s="387"/>
    </row>
    <row r="19" spans="1:15" hidden="1" x14ac:dyDescent="0.25">
      <c r="A19" s="353" t="s">
        <v>448</v>
      </c>
      <c r="B19" s="354"/>
      <c r="C19" s="355"/>
      <c r="D19" s="355"/>
      <c r="E19" s="356"/>
      <c r="F19" s="357"/>
      <c r="G19" s="358"/>
      <c r="H19" s="359"/>
      <c r="I19" s="360"/>
      <c r="J19" s="361"/>
      <c r="K19" s="361"/>
    </row>
    <row r="20" spans="1:15" hidden="1" x14ac:dyDescent="0.25">
      <c r="A20" s="362" t="s">
        <v>451</v>
      </c>
      <c r="B20" s="363">
        <f>+B17</f>
        <v>633525</v>
      </c>
      <c r="C20" s="364">
        <f>+C17</f>
        <v>18255</v>
      </c>
      <c r="D20" s="383">
        <f>+D17</f>
        <v>146388</v>
      </c>
      <c r="E20" s="365" t="s">
        <v>450</v>
      </c>
      <c r="F20" s="365" t="s">
        <v>450</v>
      </c>
      <c r="G20" s="365" t="s">
        <v>450</v>
      </c>
      <c r="H20" s="368">
        <f>+H17</f>
        <v>761664.69376454595</v>
      </c>
      <c r="I20" s="369">
        <f>+I17</f>
        <v>4462539.3173595862</v>
      </c>
      <c r="J20" s="387">
        <f>J17</f>
        <v>22572662.103718612</v>
      </c>
      <c r="K20" s="371">
        <f>+K17</f>
        <v>35.630262584299928</v>
      </c>
    </row>
    <row r="21" spans="1:15" hidden="1" x14ac:dyDescent="0.25">
      <c r="A21" s="348"/>
      <c r="B21" s="399"/>
      <c r="C21" s="382"/>
      <c r="D21" s="383"/>
      <c r="E21" s="376"/>
      <c r="F21" s="401"/>
      <c r="G21" s="384"/>
      <c r="H21" s="402"/>
      <c r="I21" s="386"/>
      <c r="J21" s="404"/>
      <c r="K21" s="387"/>
    </row>
    <row r="22" spans="1:15" hidden="1" x14ac:dyDescent="0.25">
      <c r="A22" s="372">
        <v>39179</v>
      </c>
      <c r="B22" s="399">
        <v>622792</v>
      </c>
      <c r="C22" s="374">
        <f>B22-B20</f>
        <v>-10733</v>
      </c>
      <c r="D22" s="375">
        <f>SUM(D20,C22)</f>
        <v>135655</v>
      </c>
      <c r="E22" s="400">
        <v>1.8312449099999999</v>
      </c>
      <c r="F22" s="365" t="s">
        <v>450</v>
      </c>
      <c r="G22" s="384">
        <v>35.630000000000003</v>
      </c>
      <c r="H22" s="405">
        <f t="shared" ref="H22:H27" si="5">+C22*G22</f>
        <v>-382416.79000000004</v>
      </c>
      <c r="I22" s="386">
        <f>+H22+I20</f>
        <v>4080122.5273595862</v>
      </c>
      <c r="J22" s="404">
        <f>J20+H22</f>
        <v>22190245.313718613</v>
      </c>
      <c r="K22" s="387">
        <f t="shared" ref="K22:K27" si="6">J22/+B22</f>
        <v>35.630267109594556</v>
      </c>
    </row>
    <row r="23" spans="1:15" hidden="1" x14ac:dyDescent="0.25">
      <c r="A23" s="372">
        <v>39209</v>
      </c>
      <c r="B23" s="373">
        <v>576239</v>
      </c>
      <c r="C23" s="382">
        <f>B23-B22</f>
        <v>-46553</v>
      </c>
      <c r="D23" s="383">
        <f>+C23+D22</f>
        <v>89102</v>
      </c>
      <c r="E23" s="400">
        <v>1.8312449099999999</v>
      </c>
      <c r="F23" s="365" t="s">
        <v>450</v>
      </c>
      <c r="G23" s="384">
        <v>35.630000000000003</v>
      </c>
      <c r="H23" s="405">
        <f t="shared" si="5"/>
        <v>-1658683.3900000001</v>
      </c>
      <c r="I23" s="386">
        <f>+H23+I22</f>
        <v>2421439.1373595861</v>
      </c>
      <c r="J23" s="387">
        <f>J22+H23</f>
        <v>20531561.923718613</v>
      </c>
      <c r="K23" s="387">
        <f t="shared" si="6"/>
        <v>35.630288688753474</v>
      </c>
    </row>
    <row r="24" spans="1:15" hidden="1" x14ac:dyDescent="0.25">
      <c r="A24" s="372">
        <v>39240</v>
      </c>
      <c r="B24" s="373">
        <v>505101</v>
      </c>
      <c r="C24" s="382">
        <f>B24-B23</f>
        <v>-71138</v>
      </c>
      <c r="D24" s="383">
        <f>+C24+D23</f>
        <v>17964</v>
      </c>
      <c r="E24" s="400">
        <v>1.8312449099999999</v>
      </c>
      <c r="F24" s="365" t="s">
        <v>450</v>
      </c>
      <c r="G24" s="384">
        <v>35.630000000000003</v>
      </c>
      <c r="H24" s="405">
        <f t="shared" si="5"/>
        <v>-2534646.9400000004</v>
      </c>
      <c r="I24" s="386">
        <f>+H24+I23</f>
        <v>-113207.80264041433</v>
      </c>
      <c r="J24" s="387">
        <f>J23+H24</f>
        <v>17996914.983718611</v>
      </c>
      <c r="K24" s="387">
        <f t="shared" si="6"/>
        <v>35.630329347434696</v>
      </c>
    </row>
    <row r="25" spans="1:15" hidden="1" x14ac:dyDescent="0.25">
      <c r="A25" s="372">
        <v>39270</v>
      </c>
      <c r="B25" s="373">
        <v>403213</v>
      </c>
      <c r="C25" s="382">
        <f>B25-B24</f>
        <v>-101888</v>
      </c>
      <c r="D25" s="383">
        <f>+C25+D24</f>
        <v>-83924</v>
      </c>
      <c r="E25" s="400">
        <v>1.8312449099999999</v>
      </c>
      <c r="F25" s="365" t="s">
        <v>450</v>
      </c>
      <c r="G25" s="384">
        <v>35.630000000000003</v>
      </c>
      <c r="H25" s="405">
        <f t="shared" si="5"/>
        <v>-3630269.4400000004</v>
      </c>
      <c r="I25" s="386">
        <f>+H25+I24</f>
        <v>-3743477.2426404147</v>
      </c>
      <c r="J25" s="387">
        <f>J24+H25</f>
        <v>14366645.54371861</v>
      </c>
      <c r="K25" s="387">
        <f t="shared" si="6"/>
        <v>35.630412570325383</v>
      </c>
    </row>
    <row r="26" spans="1:15" hidden="1" x14ac:dyDescent="0.25">
      <c r="A26" s="372">
        <v>39301</v>
      </c>
      <c r="B26" s="373">
        <v>257938</v>
      </c>
      <c r="C26" s="382">
        <f>B26-B25</f>
        <v>-145275</v>
      </c>
      <c r="D26" s="383">
        <f>+C26+D25</f>
        <v>-229199</v>
      </c>
      <c r="E26" s="400">
        <v>1.8312449099999999</v>
      </c>
      <c r="F26" s="365" t="s">
        <v>450</v>
      </c>
      <c r="G26" s="384">
        <v>35.630000000000003</v>
      </c>
      <c r="H26" s="405">
        <f t="shared" si="5"/>
        <v>-5176148.25</v>
      </c>
      <c r="I26" s="386">
        <f>+H26+I25</f>
        <v>-8919625.4926404152</v>
      </c>
      <c r="J26" s="387">
        <f>J25+H26</f>
        <v>9190497.29371861</v>
      </c>
      <c r="K26" s="387">
        <f t="shared" si="6"/>
        <v>35.6306449368399</v>
      </c>
    </row>
    <row r="27" spans="1:15" hidden="1" x14ac:dyDescent="0.25">
      <c r="A27" s="372">
        <v>39332</v>
      </c>
      <c r="B27" s="373">
        <v>221155</v>
      </c>
      <c r="C27" s="382">
        <f>B27-B26</f>
        <v>-36783</v>
      </c>
      <c r="D27" s="383">
        <f>+C27+D26</f>
        <v>-265982</v>
      </c>
      <c r="E27" s="400">
        <v>1.8312449099999999</v>
      </c>
      <c r="F27" s="365" t="s">
        <v>450</v>
      </c>
      <c r="G27" s="384">
        <v>35.630000000000003</v>
      </c>
      <c r="H27" s="405">
        <f t="shared" si="5"/>
        <v>-1310578.29</v>
      </c>
      <c r="I27" s="386">
        <f>+H27+I26</f>
        <v>-10230203.782640416</v>
      </c>
      <c r="J27" s="387">
        <f>J26+H27</f>
        <v>7879919.0037186099</v>
      </c>
      <c r="K27" s="387">
        <f t="shared" si="6"/>
        <v>35.630752204194387</v>
      </c>
    </row>
    <row r="28" spans="1:15" hidden="1" x14ac:dyDescent="0.25">
      <c r="A28" s="348" t="s">
        <v>278</v>
      </c>
      <c r="B28" s="349"/>
      <c r="C28" s="350"/>
      <c r="D28" s="351"/>
      <c r="E28" s="351"/>
      <c r="F28" s="351"/>
      <c r="G28" s="351"/>
      <c r="H28" s="351"/>
      <c r="I28" s="351"/>
      <c r="J28" s="351"/>
      <c r="K28" s="351"/>
      <c r="L28" s="352"/>
      <c r="M28" s="352"/>
      <c r="N28" s="352"/>
      <c r="O28" s="352"/>
    </row>
    <row r="29" spans="1:15" hidden="1" x14ac:dyDescent="0.25">
      <c r="A29" s="353" t="s">
        <v>448</v>
      </c>
      <c r="B29" s="354"/>
      <c r="C29" s="355"/>
      <c r="D29" s="355"/>
      <c r="E29" s="356"/>
      <c r="F29" s="357"/>
      <c r="G29" s="358"/>
      <c r="H29" s="359"/>
      <c r="I29" s="360"/>
      <c r="J29" s="361"/>
      <c r="K29" s="361"/>
      <c r="L29" s="352"/>
      <c r="M29" s="352"/>
      <c r="N29" s="352"/>
      <c r="O29" s="352"/>
    </row>
    <row r="30" spans="1:15" hidden="1" x14ac:dyDescent="0.25">
      <c r="A30" s="362" t="s">
        <v>452</v>
      </c>
      <c r="B30" s="363">
        <f>+B27</f>
        <v>221155</v>
      </c>
      <c r="C30" s="364">
        <f>+C27</f>
        <v>-36783</v>
      </c>
      <c r="D30" s="364">
        <f>+D27</f>
        <v>-265982</v>
      </c>
      <c r="E30" s="365" t="s">
        <v>450</v>
      </c>
      <c r="F30" s="365" t="s">
        <v>278</v>
      </c>
      <c r="G30" s="365" t="s">
        <v>278</v>
      </c>
      <c r="H30" s="368">
        <f>+H27</f>
        <v>-1310578.29</v>
      </c>
      <c r="I30" s="369">
        <f>+I27</f>
        <v>-10230203.782640416</v>
      </c>
      <c r="J30" s="370">
        <f>+J26+H27</f>
        <v>7879919.0037186099</v>
      </c>
      <c r="K30" s="371">
        <f>+K27</f>
        <v>35.630752204194387</v>
      </c>
      <c r="L30" s="352"/>
      <c r="M30" s="352"/>
      <c r="N30" s="352"/>
      <c r="O30" s="352"/>
    </row>
    <row r="31" spans="1:15" hidden="1" x14ac:dyDescent="0.25"/>
    <row r="32" spans="1:15" hidden="1" x14ac:dyDescent="0.25">
      <c r="A32" s="372">
        <v>39360</v>
      </c>
      <c r="B32" s="373">
        <v>271343</v>
      </c>
      <c r="C32" s="374">
        <f>B32-B30</f>
        <v>50188</v>
      </c>
      <c r="D32" s="375">
        <f>+C32+D27</f>
        <v>-215794</v>
      </c>
      <c r="E32" s="400">
        <v>1.8312449099999999</v>
      </c>
      <c r="F32" s="377">
        <v>22.833397000000001</v>
      </c>
      <c r="G32" s="378">
        <f t="shared" ref="G32:G37" si="7">E32*F32</f>
        <v>41.813542034259271</v>
      </c>
      <c r="H32" s="379">
        <f t="shared" ref="H32:H37" si="8">+C32*G32</f>
        <v>2098538.0476154042</v>
      </c>
      <c r="I32" s="380">
        <f>+H32+I30</f>
        <v>-8131665.7350250119</v>
      </c>
      <c r="J32" s="381">
        <f>J27+H32</f>
        <v>9978457.0513340142</v>
      </c>
      <c r="K32" s="381">
        <f t="shared" ref="K32:K37" si="9">J32/+B32</f>
        <v>36.774330096350425</v>
      </c>
    </row>
    <row r="33" spans="1:11" hidden="1" x14ac:dyDescent="0.25">
      <c r="A33" s="372">
        <v>39391</v>
      </c>
      <c r="B33" s="373">
        <v>323800</v>
      </c>
      <c r="C33" s="382">
        <f>B33-B32</f>
        <v>52457</v>
      </c>
      <c r="D33" s="383">
        <f>+C33+D32</f>
        <v>-163337</v>
      </c>
      <c r="E33" s="400">
        <v>1.8312449099999999</v>
      </c>
      <c r="F33" s="377">
        <v>22.828697999999999</v>
      </c>
      <c r="G33" s="384">
        <f t="shared" si="7"/>
        <v>41.804937014427175</v>
      </c>
      <c r="H33" s="385">
        <f t="shared" si="8"/>
        <v>2192961.5809658063</v>
      </c>
      <c r="I33" s="386">
        <f>+H33+I32</f>
        <v>-5938704.1540592052</v>
      </c>
      <c r="J33" s="385">
        <f>J32+H33</f>
        <v>12171418.63229982</v>
      </c>
      <c r="K33" s="387">
        <f t="shared" si="9"/>
        <v>37.589310167695551</v>
      </c>
    </row>
    <row r="34" spans="1:11" ht="13.8" hidden="1" thickBot="1" x14ac:dyDescent="0.3">
      <c r="A34" s="388">
        <v>39421</v>
      </c>
      <c r="B34" s="389">
        <v>381074</v>
      </c>
      <c r="C34" s="390">
        <f>B34-B33</f>
        <v>57274</v>
      </c>
      <c r="D34" s="391">
        <f>+C34+D33</f>
        <v>-106063</v>
      </c>
      <c r="E34" s="400">
        <v>1.8312449099999999</v>
      </c>
      <c r="F34" s="393">
        <v>21.891456000000002</v>
      </c>
      <c r="G34" s="394">
        <f t="shared" si="7"/>
        <v>40.088617372488962</v>
      </c>
      <c r="H34" s="395">
        <f t="shared" si="8"/>
        <v>2296035.4713919326</v>
      </c>
      <c r="I34" s="396">
        <f>+H34+I33</f>
        <v>-3642668.6826672726</v>
      </c>
      <c r="J34" s="395">
        <f>J33+H34</f>
        <v>14467454.103691753</v>
      </c>
      <c r="K34" s="398">
        <f t="shared" si="9"/>
        <v>37.964946712952738</v>
      </c>
    </row>
    <row r="35" spans="1:11" hidden="1" x14ac:dyDescent="0.25">
      <c r="A35" s="406">
        <v>39452</v>
      </c>
      <c r="B35" s="407">
        <v>480452</v>
      </c>
      <c r="C35" s="408">
        <f>B35-B34</f>
        <v>99378</v>
      </c>
      <c r="D35" s="409">
        <f>+C35+D34</f>
        <v>-6685</v>
      </c>
      <c r="E35" s="400">
        <v>1.8380158200000001</v>
      </c>
      <c r="F35" s="410">
        <v>21.958055999999999</v>
      </c>
      <c r="G35" s="411">
        <f t="shared" si="7"/>
        <v>40.359254304445919</v>
      </c>
      <c r="H35" s="412">
        <f t="shared" si="8"/>
        <v>4010821.9742672266</v>
      </c>
      <c r="I35" s="413">
        <f>+H35</f>
        <v>4010821.9742672266</v>
      </c>
      <c r="J35" s="412">
        <f>J34+H35</f>
        <v>18478276.077958979</v>
      </c>
      <c r="K35" s="414">
        <f t="shared" si="9"/>
        <v>38.460191815121966</v>
      </c>
    </row>
    <row r="36" spans="1:11" hidden="1" x14ac:dyDescent="0.25">
      <c r="A36" s="348">
        <v>39483</v>
      </c>
      <c r="B36" s="399">
        <v>568905</v>
      </c>
      <c r="C36" s="382">
        <f>B36-B35</f>
        <v>88453</v>
      </c>
      <c r="D36" s="383">
        <f>+C36+D35</f>
        <v>81768</v>
      </c>
      <c r="E36" s="400">
        <v>1.8380158200000001</v>
      </c>
      <c r="F36" s="401">
        <v>21.648401</v>
      </c>
      <c r="G36" s="384">
        <f t="shared" si="7"/>
        <v>39.790103515703819</v>
      </c>
      <c r="H36" s="402">
        <f t="shared" si="8"/>
        <v>3519554.0262745498</v>
      </c>
      <c r="I36" s="386">
        <f>+H36+I35</f>
        <v>7530376.0005417764</v>
      </c>
      <c r="J36" s="402">
        <f>J35+H36</f>
        <v>21997830.104233529</v>
      </c>
      <c r="K36" s="387">
        <f t="shared" si="9"/>
        <v>38.666965669546812</v>
      </c>
    </row>
    <row r="37" spans="1:11" hidden="1" x14ac:dyDescent="0.25">
      <c r="A37" s="348">
        <v>39512</v>
      </c>
      <c r="B37" s="399">
        <v>591976</v>
      </c>
      <c r="C37" s="382">
        <f>B37-B36</f>
        <v>23071</v>
      </c>
      <c r="D37" s="383">
        <f>+C37+D36</f>
        <v>104839</v>
      </c>
      <c r="E37" s="400">
        <v>1.8380158200000001</v>
      </c>
      <c r="F37" s="401">
        <v>21.739149000000001</v>
      </c>
      <c r="G37" s="384">
        <f t="shared" si="7"/>
        <v>39.956899775337185</v>
      </c>
      <c r="H37" s="402">
        <f t="shared" si="8"/>
        <v>921845.63471680414</v>
      </c>
      <c r="I37" s="386">
        <f>+H37+I36</f>
        <v>8452221.6352585815</v>
      </c>
      <c r="J37" s="402">
        <f>J36+H37</f>
        <v>22919675.738950334</v>
      </c>
      <c r="K37" s="387">
        <f t="shared" si="9"/>
        <v>38.717238095717285</v>
      </c>
    </row>
    <row r="38" spans="1:11" hidden="1" x14ac:dyDescent="0.25">
      <c r="A38" s="348"/>
      <c r="B38" s="399"/>
      <c r="C38" s="382"/>
      <c r="D38" s="383"/>
      <c r="E38" s="400"/>
      <c r="F38" s="401"/>
      <c r="G38" s="384"/>
      <c r="H38" s="402"/>
      <c r="I38" s="386"/>
      <c r="J38" s="402"/>
      <c r="K38" s="387"/>
    </row>
    <row r="39" spans="1:11" hidden="1" x14ac:dyDescent="0.25">
      <c r="A39" s="353" t="s">
        <v>448</v>
      </c>
      <c r="B39" s="354"/>
      <c r="C39" s="355"/>
      <c r="D39" s="355"/>
      <c r="E39" s="356"/>
      <c r="F39" s="357"/>
      <c r="G39" s="358"/>
      <c r="H39" s="359"/>
      <c r="I39" s="360"/>
      <c r="J39" s="361"/>
      <c r="K39" s="361"/>
    </row>
    <row r="40" spans="1:11" hidden="1" x14ac:dyDescent="0.25">
      <c r="A40" s="362" t="s">
        <v>453</v>
      </c>
      <c r="B40" s="363">
        <f>+B37</f>
        <v>591976</v>
      </c>
      <c r="C40" s="364">
        <f>+C37</f>
        <v>23071</v>
      </c>
      <c r="D40" s="383">
        <f>+D37</f>
        <v>104839</v>
      </c>
      <c r="E40" s="365" t="s">
        <v>450</v>
      </c>
      <c r="F40" s="365" t="s">
        <v>450</v>
      </c>
      <c r="G40" s="365" t="s">
        <v>450</v>
      </c>
      <c r="H40" s="368">
        <f>+H37</f>
        <v>921845.63471680414</v>
      </c>
      <c r="I40" s="369">
        <f>+I37</f>
        <v>8452221.6352585815</v>
      </c>
      <c r="J40" s="387">
        <f>J37</f>
        <v>22919675.738950334</v>
      </c>
      <c r="K40" s="371">
        <f>+K37</f>
        <v>38.717238095717285</v>
      </c>
    </row>
    <row r="41" spans="1:11" hidden="1" x14ac:dyDescent="0.25">
      <c r="A41" s="348"/>
      <c r="B41" s="399"/>
      <c r="C41" s="382"/>
      <c r="D41" s="383"/>
      <c r="E41" s="400"/>
      <c r="F41" s="401"/>
      <c r="G41" s="384"/>
      <c r="H41" s="402"/>
      <c r="I41" s="386"/>
      <c r="J41" s="402"/>
      <c r="K41" s="387"/>
    </row>
    <row r="42" spans="1:11" hidden="1" x14ac:dyDescent="0.25">
      <c r="A42" s="348">
        <v>39543</v>
      </c>
      <c r="B42" s="399">
        <v>578602</v>
      </c>
      <c r="C42" s="382">
        <f>B42-B40</f>
        <v>-13374</v>
      </c>
      <c r="D42" s="383">
        <f>+C42+D37</f>
        <v>91465</v>
      </c>
      <c r="E42" s="400">
        <v>1.8380158200000001</v>
      </c>
      <c r="F42" s="401">
        <v>21.905014000000001</v>
      </c>
      <c r="G42" s="384">
        <v>38.72</v>
      </c>
      <c r="H42" s="415">
        <f>+C42*G42</f>
        <v>-517841.27999999997</v>
      </c>
      <c r="I42" s="386">
        <f>+H42+I40</f>
        <v>7934380.3552585812</v>
      </c>
      <c r="J42" s="402">
        <f>J40+H42</f>
        <v>22401834.458950333</v>
      </c>
      <c r="K42" s="387">
        <f>J42/+B42</f>
        <v>38.717174256138648</v>
      </c>
    </row>
    <row r="43" spans="1:11" hidden="1" x14ac:dyDescent="0.25"/>
    <row r="44" spans="1:11" hidden="1" x14ac:dyDescent="0.25">
      <c r="A44" s="353" t="s">
        <v>448</v>
      </c>
      <c r="B44" s="354"/>
      <c r="C44" s="355"/>
      <c r="D44" s="355"/>
      <c r="E44" s="356"/>
      <c r="F44" s="357"/>
      <c r="G44" s="358"/>
      <c r="H44" s="359"/>
      <c r="I44" s="360"/>
      <c r="J44" s="361"/>
      <c r="K44" s="361"/>
    </row>
    <row r="45" spans="1:11" hidden="1" x14ac:dyDescent="0.25">
      <c r="A45" s="362" t="s">
        <v>453</v>
      </c>
      <c r="B45" s="363">
        <f>+B42</f>
        <v>578602</v>
      </c>
      <c r="C45" s="364">
        <f>+C42</f>
        <v>-13374</v>
      </c>
      <c r="D45" s="364">
        <f>+D42</f>
        <v>91465</v>
      </c>
      <c r="E45" s="400">
        <v>1.8380158200000001</v>
      </c>
      <c r="F45" s="365" t="s">
        <v>278</v>
      </c>
      <c r="G45" s="365" t="s">
        <v>278</v>
      </c>
      <c r="H45" s="368">
        <f>+H42</f>
        <v>-517841.27999999997</v>
      </c>
      <c r="I45" s="369">
        <f>+I42</f>
        <v>7934380.3552585812</v>
      </c>
      <c r="J45" s="364">
        <f>+J42</f>
        <v>22401834.458950333</v>
      </c>
      <c r="K45" s="371">
        <f>+K42</f>
        <v>38.717174256138648</v>
      </c>
    </row>
    <row r="46" spans="1:11" hidden="1" x14ac:dyDescent="0.25"/>
    <row r="47" spans="1:11" hidden="1" x14ac:dyDescent="0.25">
      <c r="A47" s="372">
        <v>39576</v>
      </c>
      <c r="B47" s="373">
        <v>587292</v>
      </c>
      <c r="C47" s="374">
        <f>B47-B45</f>
        <v>8690</v>
      </c>
      <c r="D47" s="375">
        <f>+C47+D45</f>
        <v>100155</v>
      </c>
      <c r="E47" s="400">
        <v>1.8380158200000001</v>
      </c>
      <c r="F47" s="377">
        <v>21.874735999999999</v>
      </c>
      <c r="G47" s="378">
        <f>E47*F47</f>
        <v>40.206110826323517</v>
      </c>
      <c r="H47" s="379">
        <f>+C47*G47</f>
        <v>349391.10308075137</v>
      </c>
      <c r="I47" s="380">
        <f>+H47+I45</f>
        <v>8283771.4583393326</v>
      </c>
      <c r="J47" s="381">
        <f>J45+H47</f>
        <v>22751225.562031083</v>
      </c>
      <c r="K47" s="381">
        <f>J47/+B47</f>
        <v>38.739205645626164</v>
      </c>
    </row>
    <row r="48" spans="1:11" hidden="1" x14ac:dyDescent="0.25"/>
    <row r="49" spans="1:11" hidden="1" x14ac:dyDescent="0.25">
      <c r="A49" s="353" t="s">
        <v>448</v>
      </c>
      <c r="B49" s="354"/>
      <c r="C49" s="355"/>
      <c r="D49" s="355"/>
      <c r="E49" s="356"/>
      <c r="F49" s="357"/>
      <c r="G49" s="358"/>
      <c r="H49" s="359"/>
      <c r="I49" s="360"/>
      <c r="J49" s="361"/>
      <c r="K49" s="361"/>
    </row>
    <row r="50" spans="1:11" hidden="1" x14ac:dyDescent="0.25">
      <c r="A50" s="362" t="s">
        <v>453</v>
      </c>
      <c r="B50" s="363">
        <f>+B47</f>
        <v>587292</v>
      </c>
      <c r="C50" s="364">
        <f>+C47</f>
        <v>8690</v>
      </c>
      <c r="D50" s="383">
        <f>+D47</f>
        <v>100155</v>
      </c>
      <c r="E50" s="365" t="s">
        <v>450</v>
      </c>
      <c r="F50" s="365" t="s">
        <v>450</v>
      </c>
      <c r="G50" s="365" t="s">
        <v>450</v>
      </c>
      <c r="H50" s="368">
        <f>+H47</f>
        <v>349391.10308075137</v>
      </c>
      <c r="I50" s="369">
        <f>+I47</f>
        <v>8283771.4583393326</v>
      </c>
      <c r="J50" s="387">
        <f>J47</f>
        <v>22751225.562031083</v>
      </c>
      <c r="K50" s="371">
        <f>+K47</f>
        <v>38.739205645626164</v>
      </c>
    </row>
    <row r="51" spans="1:11" hidden="1" x14ac:dyDescent="0.25">
      <c r="A51" s="348"/>
      <c r="B51" s="399"/>
      <c r="C51" s="382"/>
      <c r="D51" s="383"/>
      <c r="E51" s="400"/>
      <c r="F51" s="401"/>
      <c r="G51" s="384"/>
      <c r="H51" s="402"/>
      <c r="I51" s="386"/>
      <c r="J51" s="402"/>
      <c r="K51" s="387"/>
    </row>
    <row r="52" spans="1:11" hidden="1" x14ac:dyDescent="0.25">
      <c r="A52" s="348">
        <v>39629</v>
      </c>
      <c r="B52" s="399">
        <v>524800</v>
      </c>
      <c r="C52" s="382">
        <f>B52-B50</f>
        <v>-62492</v>
      </c>
      <c r="D52" s="383">
        <f>+C52+D47</f>
        <v>37663</v>
      </c>
      <c r="E52" s="400">
        <v>1.8380158200000001</v>
      </c>
      <c r="F52" s="365" t="s">
        <v>450</v>
      </c>
      <c r="G52" s="384">
        <v>38.74</v>
      </c>
      <c r="H52" s="415">
        <f>+C52*G52</f>
        <v>-2420940.08</v>
      </c>
      <c r="I52" s="386">
        <f>+H52+I50</f>
        <v>5862831.3783393325</v>
      </c>
      <c r="J52" s="402">
        <f>J50+H52</f>
        <v>20330285.482031085</v>
      </c>
      <c r="K52" s="387">
        <f>J52/+B52</f>
        <v>38.739111055699475</v>
      </c>
    </row>
    <row r="53" spans="1:11" hidden="1" x14ac:dyDescent="0.25">
      <c r="A53" s="348">
        <v>39660</v>
      </c>
      <c r="B53" s="399">
        <v>430110</v>
      </c>
      <c r="C53" s="382">
        <f>B53-B52</f>
        <v>-94690</v>
      </c>
      <c r="D53" s="383">
        <f>+C53+D52</f>
        <v>-57027</v>
      </c>
      <c r="E53" s="400">
        <v>1.8380158200000001</v>
      </c>
      <c r="F53" s="365" t="s">
        <v>450</v>
      </c>
      <c r="G53" s="384">
        <v>38.74</v>
      </c>
      <c r="H53" s="405">
        <f>+C53*G53</f>
        <v>-3668290.6</v>
      </c>
      <c r="I53" s="386">
        <f>+H53+I52</f>
        <v>2194540.7783393324</v>
      </c>
      <c r="J53" s="387">
        <f>J52+H53</f>
        <v>16661994.882031085</v>
      </c>
      <c r="K53" s="387">
        <f>J53/+B53</f>
        <v>38.738915351959001</v>
      </c>
    </row>
    <row r="54" spans="1:11" hidden="1" x14ac:dyDescent="0.25">
      <c r="A54" s="348">
        <v>39691</v>
      </c>
      <c r="B54" s="399">
        <v>301171</v>
      </c>
      <c r="C54" s="382">
        <f>B54-B53</f>
        <v>-128939</v>
      </c>
      <c r="D54" s="383">
        <f>+C54+D53</f>
        <v>-185966</v>
      </c>
      <c r="E54" s="400">
        <v>1.8380158200000001</v>
      </c>
      <c r="F54" s="365" t="s">
        <v>450</v>
      </c>
      <c r="G54" s="384">
        <v>38.74</v>
      </c>
      <c r="H54" s="405">
        <f>+C54*G54</f>
        <v>-4995096.8600000003</v>
      </c>
      <c r="I54" s="386">
        <f>+H54+I53</f>
        <v>-2800556.0816606679</v>
      </c>
      <c r="J54" s="387">
        <f>J53+H54</f>
        <v>11666898.022031084</v>
      </c>
      <c r="K54" s="387">
        <f>J54/+B54</f>
        <v>38.738450986419956</v>
      </c>
    </row>
    <row r="55" spans="1:11" hidden="1" x14ac:dyDescent="0.25">
      <c r="A55" s="348">
        <v>39721</v>
      </c>
      <c r="B55" s="399">
        <v>247818</v>
      </c>
      <c r="C55" s="382">
        <f>B55-B54</f>
        <v>-53353</v>
      </c>
      <c r="D55" s="383">
        <f>+C55+D54</f>
        <v>-239319</v>
      </c>
      <c r="E55" s="400">
        <v>1.8380158200000001</v>
      </c>
      <c r="F55" s="365" t="s">
        <v>450</v>
      </c>
      <c r="G55" s="384">
        <v>38.74</v>
      </c>
      <c r="H55" s="405">
        <f>+C55*G55</f>
        <v>-2066895.2200000002</v>
      </c>
      <c r="I55" s="386">
        <f>+H55+I54</f>
        <v>-4867451.3016606681</v>
      </c>
      <c r="J55" s="387">
        <f>J54+H55</f>
        <v>9600002.802031083</v>
      </c>
      <c r="K55" s="387">
        <f>J55/+B55</f>
        <v>38.738117497643763</v>
      </c>
    </row>
    <row r="56" spans="1:11" hidden="1" x14ac:dyDescent="0.25">
      <c r="A56" s="348" t="s">
        <v>278</v>
      </c>
      <c r="B56" s="349"/>
      <c r="C56" s="350"/>
      <c r="D56" s="351"/>
      <c r="E56" s="351"/>
      <c r="F56" s="351"/>
      <c r="G56" s="351"/>
      <c r="H56" s="351"/>
      <c r="I56" s="351"/>
      <c r="J56" s="351"/>
      <c r="K56" s="351"/>
    </row>
    <row r="57" spans="1:11" hidden="1" x14ac:dyDescent="0.25">
      <c r="A57" s="353" t="s">
        <v>448</v>
      </c>
      <c r="B57" s="354"/>
      <c r="C57" s="355"/>
      <c r="D57" s="355"/>
      <c r="E57" s="356"/>
      <c r="F57" s="357"/>
      <c r="G57" s="358"/>
      <c r="H57" s="359"/>
      <c r="I57" s="360"/>
      <c r="J57" s="361"/>
      <c r="K57" s="361"/>
    </row>
    <row r="58" spans="1:11" hidden="1" x14ac:dyDescent="0.25">
      <c r="A58" s="362" t="s">
        <v>454</v>
      </c>
      <c r="B58" s="363">
        <f>+B55</f>
        <v>247818</v>
      </c>
      <c r="C58" s="364">
        <f>+C55</f>
        <v>-53353</v>
      </c>
      <c r="D58" s="364">
        <f>+D55</f>
        <v>-239319</v>
      </c>
      <c r="E58" s="365" t="s">
        <v>450</v>
      </c>
      <c r="F58" s="365" t="s">
        <v>278</v>
      </c>
      <c r="G58" s="365" t="s">
        <v>278</v>
      </c>
      <c r="H58" s="368">
        <f>+H55</f>
        <v>-2066895.2200000002</v>
      </c>
      <c r="I58" s="369">
        <f>+I55</f>
        <v>-4867451.3016606681</v>
      </c>
      <c r="J58" s="370">
        <f>+J54+H55</f>
        <v>9600002.802031083</v>
      </c>
      <c r="K58" s="371">
        <f>+K55</f>
        <v>38.738117497643763</v>
      </c>
    </row>
    <row r="59" spans="1:11" hidden="1" x14ac:dyDescent="0.25">
      <c r="E59" s="416"/>
    </row>
    <row r="60" spans="1:11" hidden="1" x14ac:dyDescent="0.25">
      <c r="A60" s="372">
        <v>39726</v>
      </c>
      <c r="B60" s="373">
        <v>274660</v>
      </c>
      <c r="C60" s="374">
        <f>B60-B58</f>
        <v>26842</v>
      </c>
      <c r="D60" s="375">
        <f>+C60+D55</f>
        <v>-212477</v>
      </c>
      <c r="E60" s="400">
        <v>1.8380158200000001</v>
      </c>
      <c r="F60" s="377">
        <v>25.067101999999998</v>
      </c>
      <c r="G60" s="378">
        <f>E60*F60</f>
        <v>46.073730037553638</v>
      </c>
      <c r="H60" s="379">
        <f>+C60*G60</f>
        <v>1236711.0616680149</v>
      </c>
      <c r="I60" s="380">
        <f>+H60+I58</f>
        <v>-3630740.239992653</v>
      </c>
      <c r="J60" s="381">
        <f>J55+H60</f>
        <v>10836713.863699097</v>
      </c>
      <c r="K60" s="381">
        <f>J60/+B60</f>
        <v>39.455012974947564</v>
      </c>
    </row>
    <row r="61" spans="1:11" hidden="1" x14ac:dyDescent="0.25">
      <c r="A61" s="372">
        <v>39757</v>
      </c>
      <c r="B61" s="373">
        <v>368745</v>
      </c>
      <c r="C61" s="382">
        <f>B61-B60</f>
        <v>94085</v>
      </c>
      <c r="D61" s="383">
        <f>+C61+D60</f>
        <v>-118392</v>
      </c>
      <c r="E61" s="400">
        <v>1.8380158200000001</v>
      </c>
      <c r="F61" s="377">
        <v>25.815750000000001</v>
      </c>
      <c r="G61" s="384">
        <f>E61*F61</f>
        <v>47.449756905165003</v>
      </c>
      <c r="H61" s="385">
        <f>+C61*G61</f>
        <v>4464310.3784224493</v>
      </c>
      <c r="I61" s="386">
        <f>+H61+I60</f>
        <v>833570.13842979632</v>
      </c>
      <c r="J61" s="385">
        <f>J60+H61+0.01</f>
        <v>15301024.252121547</v>
      </c>
      <c r="K61" s="387">
        <f>J61/+B61</f>
        <v>41.494865698847569</v>
      </c>
    </row>
    <row r="62" spans="1:11" hidden="1" x14ac:dyDescent="0.25">
      <c r="A62" s="348">
        <v>39812</v>
      </c>
      <c r="B62" s="399">
        <v>366684</v>
      </c>
      <c r="C62" s="382">
        <v>-2061</v>
      </c>
      <c r="D62" s="383">
        <f>+C62+D61</f>
        <v>-120453</v>
      </c>
      <c r="E62" s="400">
        <v>1.8380158200000001</v>
      </c>
      <c r="F62" s="365" t="s">
        <v>450</v>
      </c>
      <c r="G62" s="384">
        <v>41.49</v>
      </c>
      <c r="H62" s="415">
        <f>+C62*G62</f>
        <v>-85510.89</v>
      </c>
      <c r="I62" s="380">
        <f>+H62+I61</f>
        <v>748059.24842979631</v>
      </c>
      <c r="J62" s="402">
        <f>J61+H62</f>
        <v>15215513.362121547</v>
      </c>
      <c r="K62" s="387">
        <f>J62/+B62</f>
        <v>41.494893047205622</v>
      </c>
    </row>
    <row r="63" spans="1:11" ht="13.8" hidden="1" thickBot="1" x14ac:dyDescent="0.3">
      <c r="A63" s="417"/>
      <c r="B63" s="417"/>
      <c r="C63" s="417"/>
      <c r="D63" s="417"/>
      <c r="E63" s="417"/>
      <c r="F63" s="417"/>
      <c r="G63" s="417"/>
      <c r="H63" s="417"/>
      <c r="I63" s="417"/>
      <c r="J63" s="417"/>
      <c r="K63" s="417"/>
    </row>
    <row r="64" spans="1:11" hidden="1" x14ac:dyDescent="0.25">
      <c r="A64" s="348">
        <v>39822</v>
      </c>
      <c r="B64" s="399">
        <v>461361</v>
      </c>
      <c r="C64" s="382">
        <v>94677</v>
      </c>
      <c r="D64" s="383">
        <v>-25776</v>
      </c>
      <c r="E64" s="400">
        <v>1.82615602</v>
      </c>
      <c r="F64" s="401">
        <v>28.073795</v>
      </c>
      <c r="G64" s="384">
        <v>51.2671297434959</v>
      </c>
      <c r="H64" s="405">
        <v>4853818.0427249614</v>
      </c>
      <c r="I64" s="386">
        <v>4853818.0427249614</v>
      </c>
      <c r="J64" s="387">
        <v>20069331.404846508</v>
      </c>
      <c r="K64" s="387">
        <v>43.500277233763818</v>
      </c>
    </row>
    <row r="65" spans="1:13" hidden="1" x14ac:dyDescent="0.25">
      <c r="A65" s="348">
        <v>39853</v>
      </c>
      <c r="B65" s="399">
        <v>544623</v>
      </c>
      <c r="C65" s="382">
        <v>83262</v>
      </c>
      <c r="D65" s="383">
        <v>57486</v>
      </c>
      <c r="E65" s="400">
        <v>1.82615602</v>
      </c>
      <c r="F65" s="401">
        <v>28.958480999999999</v>
      </c>
      <c r="G65" s="384">
        <v>52.882704408205619</v>
      </c>
      <c r="H65" s="405">
        <v>4403119.7344360165</v>
      </c>
      <c r="I65" s="386">
        <v>9256937.7771609779</v>
      </c>
      <c r="J65" s="387">
        <v>24472451.139282525</v>
      </c>
      <c r="K65" s="387">
        <v>44.934663316243572</v>
      </c>
    </row>
    <row r="66" spans="1:13" hidden="1" x14ac:dyDescent="0.25">
      <c r="A66" s="348">
        <v>39881</v>
      </c>
      <c r="B66" s="399">
        <v>589699</v>
      </c>
      <c r="C66" s="382">
        <v>45076</v>
      </c>
      <c r="D66" s="383">
        <v>102562</v>
      </c>
      <c r="E66" s="400">
        <v>1.82615602</v>
      </c>
      <c r="F66" s="401">
        <v>31.213847999999999</v>
      </c>
      <c r="G66" s="384">
        <v>57.001356432564954</v>
      </c>
      <c r="H66" s="405">
        <v>2569393.142554298</v>
      </c>
      <c r="I66" s="386">
        <v>11826330.919715276</v>
      </c>
      <c r="J66" s="387">
        <v>27041844.281836823</v>
      </c>
      <c r="K66" s="387">
        <v>45.857029233281423</v>
      </c>
    </row>
    <row r="67" spans="1:13" hidden="1" x14ac:dyDescent="0.25">
      <c r="A67" s="348">
        <v>39912</v>
      </c>
      <c r="B67" s="399">
        <v>608344</v>
      </c>
      <c r="C67" s="382">
        <v>18645</v>
      </c>
      <c r="D67" s="383">
        <v>121207</v>
      </c>
      <c r="E67" s="400">
        <v>1.82615602</v>
      </c>
      <c r="F67" s="401">
        <v>32.141759999999998</v>
      </c>
      <c r="G67" s="384">
        <v>58.695868517395198</v>
      </c>
      <c r="H67" s="405">
        <v>1094384.4685068335</v>
      </c>
      <c r="I67" s="386">
        <v>12920715.38822211</v>
      </c>
      <c r="J67" s="387">
        <v>28136228.750343658</v>
      </c>
      <c r="K67" s="387">
        <v>46.250523963980342</v>
      </c>
      <c r="M67" s="338" t="s">
        <v>455</v>
      </c>
    </row>
    <row r="68" spans="1:13" hidden="1" x14ac:dyDescent="0.25">
      <c r="A68" s="348">
        <v>39942</v>
      </c>
      <c r="B68" s="399">
        <v>593083</v>
      </c>
      <c r="C68" s="382">
        <v>-15261</v>
      </c>
      <c r="D68" s="383">
        <v>105946</v>
      </c>
      <c r="E68" s="400">
        <v>1.82615602</v>
      </c>
      <c r="F68" s="401">
        <v>30.977388000000001</v>
      </c>
      <c r="G68" s="384">
        <v>46.250523963980342</v>
      </c>
      <c r="H68" s="405">
        <v>-705829.246214304</v>
      </c>
      <c r="I68" s="386">
        <v>12214886.142007805</v>
      </c>
      <c r="J68" s="387">
        <v>27430399.504129354</v>
      </c>
      <c r="K68" s="387">
        <v>46.250523963980342</v>
      </c>
    </row>
    <row r="69" spans="1:13" hidden="1" x14ac:dyDescent="0.25">
      <c r="A69" s="348">
        <v>39973</v>
      </c>
      <c r="B69" s="399">
        <v>505655</v>
      </c>
      <c r="C69" s="382">
        <v>-87428</v>
      </c>
      <c r="D69" s="383">
        <v>18518</v>
      </c>
      <c r="E69" s="400">
        <v>1.82615602</v>
      </c>
      <c r="F69" s="401">
        <v>30.80303</v>
      </c>
      <c r="G69" s="384">
        <v>46.250523963980342</v>
      </c>
      <c r="H69" s="405">
        <v>-4043590.8091228735</v>
      </c>
      <c r="I69" s="386">
        <v>8171295.3328849319</v>
      </c>
      <c r="J69" s="387">
        <v>23386808.695006482</v>
      </c>
      <c r="K69" s="387">
        <v>46.250523963980349</v>
      </c>
    </row>
    <row r="70" spans="1:13" hidden="1" x14ac:dyDescent="0.25">
      <c r="A70" s="348">
        <v>40003</v>
      </c>
      <c r="B70" s="399">
        <v>384552</v>
      </c>
      <c r="C70" s="382">
        <v>-121103</v>
      </c>
      <c r="D70" s="383">
        <v>-102585</v>
      </c>
      <c r="E70" s="400">
        <v>1.82615602</v>
      </c>
      <c r="F70" s="401">
        <v>30.573314</v>
      </c>
      <c r="G70" s="384">
        <v>46.250523963980342</v>
      </c>
      <c r="H70" s="405">
        <v>-5601077.2036099117</v>
      </c>
      <c r="I70" s="386">
        <v>2570218.1292750202</v>
      </c>
      <c r="J70" s="387">
        <v>17785731.491396569</v>
      </c>
      <c r="K70" s="387">
        <v>46.250523963980342</v>
      </c>
    </row>
    <row r="71" spans="1:13" hidden="1" x14ac:dyDescent="0.25">
      <c r="A71" s="348">
        <v>40026</v>
      </c>
      <c r="B71" s="399">
        <v>256501</v>
      </c>
      <c r="C71" s="382">
        <v>-128051</v>
      </c>
      <c r="D71" s="383">
        <v>-230636</v>
      </c>
      <c r="E71" s="400">
        <v>1.82615602</v>
      </c>
      <c r="F71" s="401">
        <v>30.75224</v>
      </c>
      <c r="G71" s="384">
        <v>46.250523963980342</v>
      </c>
      <c r="H71" s="405">
        <v>-5922425.8441116465</v>
      </c>
      <c r="I71" s="386">
        <v>-3352207.7148366263</v>
      </c>
      <c r="J71" s="387">
        <v>11863305.647284921</v>
      </c>
      <c r="K71" s="387">
        <v>46.250523963980342</v>
      </c>
    </row>
    <row r="72" spans="1:13" hidden="1" x14ac:dyDescent="0.25">
      <c r="A72" s="348">
        <v>40065</v>
      </c>
      <c r="B72" s="399">
        <v>267760</v>
      </c>
      <c r="C72" s="382">
        <v>11259</v>
      </c>
      <c r="D72" s="383">
        <v>-219377</v>
      </c>
      <c r="E72" s="400">
        <v>1.82615602</v>
      </c>
      <c r="F72" s="401">
        <v>30.686596999999999</v>
      </c>
      <c r="G72" s="384">
        <v>56.038513844863935</v>
      </c>
      <c r="H72" s="405">
        <v>630937.62737932301</v>
      </c>
      <c r="I72" s="386">
        <v>-2721270.0874573034</v>
      </c>
      <c r="J72" s="387">
        <v>12494243.274664244</v>
      </c>
      <c r="K72" s="387">
        <v>46.662097679504946</v>
      </c>
    </row>
    <row r="73" spans="1:13" hidden="1" x14ac:dyDescent="0.25">
      <c r="A73" s="348">
        <v>40095</v>
      </c>
      <c r="B73" s="399">
        <v>286978</v>
      </c>
      <c r="C73" s="382">
        <v>19218</v>
      </c>
      <c r="D73" s="383">
        <v>-200159</v>
      </c>
      <c r="E73" s="400">
        <v>1.82615602</v>
      </c>
      <c r="F73" s="401">
        <v>31.094235000000001</v>
      </c>
      <c r="G73" s="384">
        <v>56.782924432544704</v>
      </c>
      <c r="H73" s="405">
        <v>1091254.241744644</v>
      </c>
      <c r="I73" s="386">
        <v>-1630015.8457126594</v>
      </c>
      <c r="J73" s="387">
        <v>13585497.516408887</v>
      </c>
      <c r="K73" s="387">
        <v>47.339857119392036</v>
      </c>
    </row>
    <row r="74" spans="1:13" hidden="1" x14ac:dyDescent="0.25">
      <c r="A74" s="348">
        <v>40126</v>
      </c>
      <c r="B74" s="399">
        <v>365799</v>
      </c>
      <c r="C74" s="382">
        <v>78821</v>
      </c>
      <c r="D74" s="383">
        <v>-121338</v>
      </c>
      <c r="E74" s="400">
        <v>1.82615602</v>
      </c>
      <c r="F74" s="401">
        <v>31.131633000000001</v>
      </c>
      <c r="G74" s="384">
        <v>56.851219015380664</v>
      </c>
      <c r="H74" s="405">
        <v>4481069.9340113197</v>
      </c>
      <c r="I74" s="386">
        <v>2851054.0882986602</v>
      </c>
      <c r="J74" s="387">
        <v>18066567.450420208</v>
      </c>
      <c r="K74" s="387">
        <v>49.389329797020245</v>
      </c>
    </row>
    <row r="75" spans="1:13" ht="13.8" hidden="1" thickBot="1" x14ac:dyDescent="0.3">
      <c r="A75" s="388">
        <v>40156</v>
      </c>
      <c r="B75" s="389">
        <v>431547</v>
      </c>
      <c r="C75" s="390">
        <v>65748</v>
      </c>
      <c r="D75" s="391">
        <v>-55590</v>
      </c>
      <c r="E75" s="418">
        <v>1.82615602</v>
      </c>
      <c r="F75" s="393">
        <v>30.590181999999999</v>
      </c>
      <c r="G75" s="394">
        <v>55.862445012195636</v>
      </c>
      <c r="H75" s="419">
        <v>3672844.0346618388</v>
      </c>
      <c r="I75" s="396">
        <v>6523898.1229604986</v>
      </c>
      <c r="J75" s="398">
        <v>21739411.485082045</v>
      </c>
      <c r="K75" s="398">
        <v>50.375536117924689</v>
      </c>
    </row>
    <row r="76" spans="1:13" hidden="1" x14ac:dyDescent="0.25"/>
    <row r="77" spans="1:13" ht="13.8" hidden="1" thickBot="1" x14ac:dyDescent="0.3">
      <c r="A77" s="420"/>
      <c r="B77" s="420"/>
      <c r="C77" s="420"/>
      <c r="D77" s="420"/>
      <c r="E77" s="420"/>
      <c r="F77" s="420"/>
      <c r="G77" s="420"/>
      <c r="H77" s="420"/>
      <c r="I77" s="420"/>
      <c r="J77" s="420"/>
      <c r="K77" s="420"/>
    </row>
    <row r="78" spans="1:13" hidden="1" x14ac:dyDescent="0.25">
      <c r="A78" s="348">
        <v>40179</v>
      </c>
      <c r="B78" s="399">
        <v>535042</v>
      </c>
      <c r="C78" s="382">
        <v>103495</v>
      </c>
      <c r="D78" s="383">
        <v>103495</v>
      </c>
      <c r="E78" s="400">
        <v>1.7799971999999999</v>
      </c>
      <c r="F78" s="401">
        <v>30.150075999999999</v>
      </c>
      <c r="G78" s="384">
        <v>53.667050859787196</v>
      </c>
      <c r="H78" s="405">
        <v>5554271.4299999997</v>
      </c>
      <c r="I78" s="386">
        <v>5554271.4299999997</v>
      </c>
      <c r="J78" s="387">
        <v>27293682.915082045</v>
      </c>
      <c r="K78" s="387">
        <v>51.012225049775616</v>
      </c>
      <c r="M78" s="336" t="s">
        <v>456</v>
      </c>
    </row>
    <row r="79" spans="1:13" hidden="1" x14ac:dyDescent="0.25">
      <c r="A79" s="348" t="s">
        <v>457</v>
      </c>
      <c r="B79" s="399"/>
      <c r="C79" s="382"/>
      <c r="D79" s="383"/>
      <c r="E79" s="400"/>
      <c r="F79" s="401"/>
      <c r="G79" s="384"/>
      <c r="H79" s="405">
        <v>-1610011.525793616</v>
      </c>
      <c r="I79" s="386">
        <v>3944259.904206384</v>
      </c>
      <c r="J79" s="387">
        <v>25683671.389288429</v>
      </c>
      <c r="K79" s="387"/>
      <c r="M79" s="338" t="s">
        <v>458</v>
      </c>
    </row>
    <row r="80" spans="1:13" hidden="1" x14ac:dyDescent="0.25">
      <c r="A80" s="348">
        <v>40210</v>
      </c>
      <c r="B80" s="399">
        <v>573353</v>
      </c>
      <c r="C80" s="382">
        <v>38311</v>
      </c>
      <c r="D80" s="383">
        <v>141806</v>
      </c>
      <c r="E80" s="400">
        <v>1.7799971999999999</v>
      </c>
      <c r="F80" s="401">
        <v>31.203426799999999</v>
      </c>
      <c r="G80" s="384">
        <v>55.542012334404959</v>
      </c>
      <c r="H80" s="405">
        <v>2127870.0299999998</v>
      </c>
      <c r="I80" s="386">
        <v>6072129.9342063833</v>
      </c>
      <c r="J80" s="387">
        <v>27811541.41928843</v>
      </c>
      <c r="K80" s="387">
        <v>48.506838578133248</v>
      </c>
    </row>
    <row r="81" spans="1:13" hidden="1" x14ac:dyDescent="0.25">
      <c r="A81" s="348">
        <v>40238</v>
      </c>
      <c r="B81" s="399">
        <v>619276</v>
      </c>
      <c r="C81" s="382">
        <v>45923</v>
      </c>
      <c r="D81" s="383">
        <v>187729</v>
      </c>
      <c r="E81" s="400">
        <v>1.7799971999999999</v>
      </c>
      <c r="F81" s="401">
        <v>30.999558287469686</v>
      </c>
      <c r="G81" s="384">
        <v>55.179126952932833</v>
      </c>
      <c r="H81" s="405">
        <v>2533991.0499999998</v>
      </c>
      <c r="I81" s="386">
        <v>8606120.9842063822</v>
      </c>
      <c r="J81" s="387">
        <v>30345532.469288431</v>
      </c>
      <c r="K81" s="387">
        <v>49.001628464995299</v>
      </c>
    </row>
    <row r="82" spans="1:13" hidden="1" x14ac:dyDescent="0.25">
      <c r="A82" s="348">
        <v>40269</v>
      </c>
      <c r="B82" s="399">
        <v>613000</v>
      </c>
      <c r="C82" s="382">
        <v>-6276</v>
      </c>
      <c r="D82" s="383">
        <v>181453</v>
      </c>
      <c r="E82" s="400">
        <v>1.7799971999999999</v>
      </c>
      <c r="F82" s="401">
        <v>32.04787882268176</v>
      </c>
      <c r="G82" s="384">
        <v>49.001628464995299</v>
      </c>
      <c r="H82" s="405">
        <v>-307534.21999999997</v>
      </c>
      <c r="I82" s="386">
        <v>8298586.7642063824</v>
      </c>
      <c r="J82" s="387">
        <v>30037998.249288432</v>
      </c>
      <c r="K82" s="387">
        <v>49.001628465397118</v>
      </c>
      <c r="M82" s="338" t="s">
        <v>455</v>
      </c>
    </row>
    <row r="83" spans="1:13" hidden="1" x14ac:dyDescent="0.25">
      <c r="A83" s="348">
        <v>40299</v>
      </c>
      <c r="B83" s="399">
        <v>608126</v>
      </c>
      <c r="C83" s="382">
        <v>-4874</v>
      </c>
      <c r="D83" s="383">
        <v>176579</v>
      </c>
      <c r="E83" s="400">
        <v>1.7799971999999999</v>
      </c>
      <c r="F83" s="401">
        <v>32.27581</v>
      </c>
      <c r="G83" s="384">
        <v>49.001628465397118</v>
      </c>
      <c r="H83" s="405">
        <v>-238833.94</v>
      </c>
      <c r="I83" s="386">
        <v>8059752.824206382</v>
      </c>
      <c r="J83" s="387">
        <v>29799164.309288431</v>
      </c>
      <c r="K83" s="387">
        <v>49.001628460694711</v>
      </c>
    </row>
    <row r="84" spans="1:13" hidden="1" x14ac:dyDescent="0.25">
      <c r="A84" s="348">
        <v>40330</v>
      </c>
      <c r="B84" s="399">
        <v>565502.6832863749</v>
      </c>
      <c r="C84" s="382">
        <v>-42623.3167136251</v>
      </c>
      <c r="D84" s="383">
        <v>133955.6832863749</v>
      </c>
      <c r="E84" s="400">
        <v>1.7799971999999999</v>
      </c>
      <c r="F84" s="401">
        <v>32.166890000000002</v>
      </c>
      <c r="G84" s="384">
        <v>49.001628460694711</v>
      </c>
      <c r="H84" s="405">
        <v>-2088611.93</v>
      </c>
      <c r="I84" s="386">
        <v>5971140.8942063823</v>
      </c>
      <c r="J84" s="387">
        <v>27710552.379288431</v>
      </c>
      <c r="K84" s="387">
        <v>49.001628459569297</v>
      </c>
    </row>
    <row r="85" spans="1:13" hidden="1" x14ac:dyDescent="0.25">
      <c r="A85" s="348">
        <v>40360</v>
      </c>
      <c r="B85" s="399">
        <v>395952.22011845314</v>
      </c>
      <c r="C85" s="382">
        <v>-169550.46316792176</v>
      </c>
      <c r="D85" s="383">
        <v>-35594.779881546856</v>
      </c>
      <c r="E85" s="400">
        <v>1.7799971999999999</v>
      </c>
      <c r="F85" s="401">
        <v>32.513669999999998</v>
      </c>
      <c r="G85" s="384">
        <v>49.001628459569297</v>
      </c>
      <c r="H85" s="405">
        <v>-8308248.7999999998</v>
      </c>
      <c r="I85" s="386">
        <v>-2337107.9057936175</v>
      </c>
      <c r="J85" s="387">
        <v>19402303.579288431</v>
      </c>
      <c r="K85" s="387">
        <v>49.001628462858555</v>
      </c>
    </row>
    <row r="86" spans="1:13" hidden="1" x14ac:dyDescent="0.25">
      <c r="A86" s="348">
        <v>40391</v>
      </c>
      <c r="B86" s="399">
        <v>287614.989533972</v>
      </c>
      <c r="C86" s="382">
        <v>-108337.23058448115</v>
      </c>
      <c r="D86" s="383">
        <v>-143932.010466028</v>
      </c>
      <c r="E86" s="400">
        <v>1.7799971999999999</v>
      </c>
      <c r="F86" s="401">
        <v>32.56071</v>
      </c>
      <c r="G86" s="384">
        <v>49.001628462858555</v>
      </c>
      <c r="H86" s="405">
        <v>-5308700.72</v>
      </c>
      <c r="I86" s="386">
        <v>-7645808.6257936172</v>
      </c>
      <c r="J86" s="387">
        <v>14093602.859288432</v>
      </c>
      <c r="K86" s="387">
        <v>49.001628469102265</v>
      </c>
    </row>
    <row r="87" spans="1:13" hidden="1" x14ac:dyDescent="0.25">
      <c r="A87" s="348">
        <v>40422</v>
      </c>
      <c r="B87" s="399">
        <v>283519.59452882671</v>
      </c>
      <c r="C87" s="382">
        <v>-4095.3950051452848</v>
      </c>
      <c r="D87" s="383">
        <v>-148027.40547117329</v>
      </c>
      <c r="E87" s="400">
        <v>1.7799971999999999</v>
      </c>
      <c r="F87" s="401">
        <v>32.710459999999998</v>
      </c>
      <c r="G87" s="384">
        <v>49.001628469102265</v>
      </c>
      <c r="H87" s="405">
        <v>-200681.02447634641</v>
      </c>
      <c r="I87" s="386">
        <v>-7846489.6502699638</v>
      </c>
      <c r="J87" s="387">
        <v>13892921.834812086</v>
      </c>
      <c r="K87" s="387">
        <v>49.001628469102265</v>
      </c>
    </row>
    <row r="88" spans="1:13" hidden="1" x14ac:dyDescent="0.25">
      <c r="A88" s="348">
        <v>40452</v>
      </c>
      <c r="B88" s="399">
        <v>338914.07507724268</v>
      </c>
      <c r="C88" s="382">
        <v>55394.480548415973</v>
      </c>
      <c r="D88" s="383">
        <v>-92632.924922757316</v>
      </c>
      <c r="E88" s="400">
        <v>1.7799971999999999</v>
      </c>
      <c r="F88" s="401">
        <v>32.483919999999998</v>
      </c>
      <c r="G88" s="384">
        <v>57.821286645023996</v>
      </c>
      <c r="H88" s="405">
        <v>3202980.1383421659</v>
      </c>
      <c r="I88" s="386">
        <v>-4643509.5119277984</v>
      </c>
      <c r="J88" s="387">
        <v>17095901.973154251</v>
      </c>
      <c r="K88" s="387">
        <v>50.443174923490218</v>
      </c>
    </row>
    <row r="89" spans="1:13" hidden="1" x14ac:dyDescent="0.25">
      <c r="A89" s="348">
        <v>40483</v>
      </c>
      <c r="B89" s="399">
        <v>404999</v>
      </c>
      <c r="C89" s="382">
        <v>66084.924922757316</v>
      </c>
      <c r="D89" s="383">
        <v>-26548</v>
      </c>
      <c r="E89" s="400">
        <v>1.7799971999999999</v>
      </c>
      <c r="F89" s="401">
        <v>32.065910000000002</v>
      </c>
      <c r="G89" s="384">
        <v>57.077230015452002</v>
      </c>
      <c r="H89" s="405">
        <v>3771944.4603700959</v>
      </c>
      <c r="I89" s="386">
        <v>-871565.05155770248</v>
      </c>
      <c r="J89" s="387">
        <v>20867846.433524348</v>
      </c>
      <c r="K89" s="387">
        <v>51.525673973329191</v>
      </c>
    </row>
    <row r="90" spans="1:13" ht="13.8" hidden="1" thickBot="1" x14ac:dyDescent="0.3">
      <c r="A90" s="388">
        <v>40513</v>
      </c>
      <c r="B90" s="389">
        <v>510315.21776674129</v>
      </c>
      <c r="C90" s="390">
        <v>105316.21776674129</v>
      </c>
      <c r="D90" s="391">
        <v>78768.217766741291</v>
      </c>
      <c r="E90" s="418">
        <v>1.7799971999999999</v>
      </c>
      <c r="F90" s="393">
        <v>32.033380000000001</v>
      </c>
      <c r="G90" s="394">
        <v>57.019326706535999</v>
      </c>
      <c r="H90" s="419">
        <v>6005059.8283385132</v>
      </c>
      <c r="I90" s="396">
        <v>5133494.7767808102</v>
      </c>
      <c r="J90" s="398">
        <v>26872906.261862859</v>
      </c>
      <c r="K90" s="398">
        <v>52.659425637873355</v>
      </c>
    </row>
    <row r="91" spans="1:13" hidden="1" x14ac:dyDescent="0.25"/>
    <row r="92" spans="1:13" ht="13.8" hidden="1" thickBot="1" x14ac:dyDescent="0.3">
      <c r="A92" s="420"/>
      <c r="B92" s="420"/>
      <c r="C92" s="420"/>
      <c r="D92" s="420"/>
      <c r="E92" s="420"/>
      <c r="F92" s="420"/>
      <c r="G92" s="420"/>
      <c r="H92" s="420"/>
      <c r="I92" s="420"/>
      <c r="J92" s="420"/>
      <c r="K92" s="420"/>
    </row>
    <row r="93" spans="1:13" hidden="1" x14ac:dyDescent="0.25">
      <c r="A93" s="348">
        <v>40544</v>
      </c>
      <c r="B93" s="399">
        <v>530886.52127520146</v>
      </c>
      <c r="C93" s="382">
        <v>20571.303508460172</v>
      </c>
      <c r="D93" s="383">
        <v>20571.303508460172</v>
      </c>
      <c r="E93" s="421">
        <v>1.8804817700000001</v>
      </c>
      <c r="F93" s="401">
        <v>32.08323</v>
      </c>
      <c r="G93" s="384">
        <v>60.331929137717104</v>
      </c>
      <c r="H93" s="405">
        <v>1241106.43</v>
      </c>
      <c r="I93" s="386">
        <v>1241106.43</v>
      </c>
      <c r="J93" s="387">
        <v>28114012.691862859</v>
      </c>
      <c r="K93" s="387">
        <v>52.956727219844204</v>
      </c>
    </row>
    <row r="94" spans="1:13" hidden="1" x14ac:dyDescent="0.25">
      <c r="A94" s="348">
        <f>A93+31</f>
        <v>40575</v>
      </c>
      <c r="B94" s="399">
        <v>583348.1908149675</v>
      </c>
      <c r="C94" s="382">
        <v>52461.669539766037</v>
      </c>
      <c r="D94" s="383">
        <v>73032.973048226209</v>
      </c>
      <c r="E94" s="421">
        <v>1.8804817700000001</v>
      </c>
      <c r="F94" s="401">
        <v>31.088380000000001</v>
      </c>
      <c r="G94" s="384">
        <v>58.461131848832601</v>
      </c>
      <c r="H94" s="405">
        <v>3066968.5799741475</v>
      </c>
      <c r="I94" s="386">
        <v>4308075.0099741472</v>
      </c>
      <c r="J94" s="387">
        <v>31180981.271837007</v>
      </c>
      <c r="K94" s="387">
        <v>53.451749337347849</v>
      </c>
    </row>
    <row r="95" spans="1:13" hidden="1" x14ac:dyDescent="0.25">
      <c r="A95" s="348">
        <f t="shared" ref="A95:A104" si="10">A94+31</f>
        <v>40606</v>
      </c>
      <c r="B95" s="399">
        <v>627825.8173541103</v>
      </c>
      <c r="C95" s="382">
        <v>44477.626539142802</v>
      </c>
      <c r="D95" s="383">
        <v>117510.59958736901</v>
      </c>
      <c r="E95" s="421">
        <v>1.8804817700000001</v>
      </c>
      <c r="F95" s="401">
        <v>29.98123</v>
      </c>
      <c r="G95" s="384">
        <v>56.379156457177103</v>
      </c>
      <c r="H95" s="405">
        <v>2507611.0654942244</v>
      </c>
      <c r="I95" s="386">
        <v>6815686.0754683716</v>
      </c>
      <c r="J95" s="387">
        <v>33688592.337331235</v>
      </c>
      <c r="K95" s="387">
        <v>53.659138261161985</v>
      </c>
    </row>
    <row r="96" spans="1:13" hidden="1" x14ac:dyDescent="0.25">
      <c r="A96" s="348">
        <f t="shared" si="10"/>
        <v>40637</v>
      </c>
      <c r="B96" s="399">
        <v>648671.47166714002</v>
      </c>
      <c r="C96" s="382">
        <v>20845.654313029721</v>
      </c>
      <c r="D96" s="383">
        <v>138356.25390039873</v>
      </c>
      <c r="E96" s="421">
        <v>1.8804817700000001</v>
      </c>
      <c r="F96" s="401">
        <v>30.30227</v>
      </c>
      <c r="G96" s="384">
        <v>56.982866324617902</v>
      </c>
      <c r="H96" s="405">
        <v>1187845.1331685672</v>
      </c>
      <c r="I96" s="386">
        <v>8003531.2086369386</v>
      </c>
      <c r="J96" s="387">
        <v>34876437.470499806</v>
      </c>
      <c r="K96" s="387">
        <v>53.765949319251611</v>
      </c>
      <c r="M96" s="338"/>
    </row>
    <row r="97" spans="1:15" hidden="1" x14ac:dyDescent="0.25">
      <c r="A97" s="348">
        <f t="shared" si="10"/>
        <v>40668</v>
      </c>
      <c r="B97" s="399">
        <v>628743.97430207941</v>
      </c>
      <c r="C97" s="382">
        <v>-19927.497365060612</v>
      </c>
      <c r="D97" s="383">
        <v>118428.75653533812</v>
      </c>
      <c r="E97" s="421">
        <v>1.8804817700000001</v>
      </c>
      <c r="F97" s="401">
        <v>30.45026</v>
      </c>
      <c r="G97" s="384">
        <v>53.765949319251611</v>
      </c>
      <c r="H97" s="405">
        <v>-1071420.8133893688</v>
      </c>
      <c r="I97" s="386">
        <v>6932110.3952475693</v>
      </c>
      <c r="J97" s="387">
        <v>33805016.657110438</v>
      </c>
      <c r="K97" s="387">
        <v>53.765949319251611</v>
      </c>
    </row>
    <row r="98" spans="1:15" hidden="1" x14ac:dyDescent="0.25">
      <c r="A98" s="348">
        <f t="shared" si="10"/>
        <v>40699</v>
      </c>
      <c r="B98" s="399">
        <v>549662.53181274643</v>
      </c>
      <c r="C98" s="382">
        <v>-79081.442489332985</v>
      </c>
      <c r="D98" s="383">
        <v>39347.314046005136</v>
      </c>
      <c r="E98" s="421">
        <v>1.8804817700000001</v>
      </c>
      <c r="F98" s="401">
        <v>30.397290000000002</v>
      </c>
      <c r="G98" s="384">
        <v>53.765949319251611</v>
      </c>
      <c r="H98" s="405">
        <v>-4251888.8289747881</v>
      </c>
      <c r="I98" s="386">
        <v>2680221.5662727812</v>
      </c>
      <c r="J98" s="387">
        <v>29553127.828135651</v>
      </c>
      <c r="K98" s="387">
        <v>53.765949319251611</v>
      </c>
    </row>
    <row r="99" spans="1:15" hidden="1" x14ac:dyDescent="0.25">
      <c r="A99" s="348">
        <f t="shared" si="10"/>
        <v>40730</v>
      </c>
      <c r="B99" s="399">
        <v>389610.1159594807</v>
      </c>
      <c r="C99" s="382">
        <v>-160052.41585326573</v>
      </c>
      <c r="D99" s="383">
        <v>-120705.10180726059</v>
      </c>
      <c r="E99" s="421">
        <v>1.8804817700000001</v>
      </c>
      <c r="F99" s="401">
        <v>30.822179999999999</v>
      </c>
      <c r="G99" s="384">
        <v>53.765949319251611</v>
      </c>
      <c r="H99" s="405">
        <v>-8605370.0791904684</v>
      </c>
      <c r="I99" s="386">
        <v>-5925148.5129176872</v>
      </c>
      <c r="J99" s="387">
        <v>20947757.748945184</v>
      </c>
      <c r="K99" s="387">
        <v>53.765949319251618</v>
      </c>
    </row>
    <row r="100" spans="1:15" hidden="1" x14ac:dyDescent="0.25">
      <c r="A100" s="348">
        <f t="shared" si="10"/>
        <v>40761</v>
      </c>
      <c r="B100" s="399">
        <v>227981.18311825331</v>
      </c>
      <c r="C100" s="382">
        <v>-161628.93284122739</v>
      </c>
      <c r="D100" s="383">
        <v>-282334.03464848798</v>
      </c>
      <c r="E100" s="421">
        <v>1.8804817700000001</v>
      </c>
      <c r="F100" s="401">
        <v>30.860869999999998</v>
      </c>
      <c r="G100" s="384">
        <v>53.765949319251618</v>
      </c>
      <c r="H100" s="405">
        <v>-8690133.0116661545</v>
      </c>
      <c r="I100" s="386">
        <v>-14615281.524583843</v>
      </c>
      <c r="J100" s="387">
        <v>12257624.73727903</v>
      </c>
      <c r="K100" s="387">
        <v>53.765949319251618</v>
      </c>
    </row>
    <row r="101" spans="1:15" hidden="1" x14ac:dyDescent="0.25">
      <c r="A101" s="348">
        <f t="shared" si="10"/>
        <v>40792</v>
      </c>
      <c r="B101" s="399">
        <v>187374.87123689023</v>
      </c>
      <c r="C101" s="382">
        <v>-40606.311881363072</v>
      </c>
      <c r="D101" s="383">
        <v>-322940.34652985109</v>
      </c>
      <c r="E101" s="421">
        <v>1.8804817700000001</v>
      </c>
      <c r="F101" s="401">
        <v>31.03858</v>
      </c>
      <c r="G101" s="384">
        <v>53.765949319251618</v>
      </c>
      <c r="H101" s="405">
        <v>-2183236.9066550918</v>
      </c>
      <c r="I101" s="386">
        <v>-16798518.431238934</v>
      </c>
      <c r="J101" s="387">
        <v>10074387.830623938</v>
      </c>
      <c r="K101" s="387">
        <v>53.765949319251618</v>
      </c>
    </row>
    <row r="102" spans="1:15" hidden="1" x14ac:dyDescent="0.25">
      <c r="A102" s="348">
        <f t="shared" si="10"/>
        <v>40823</v>
      </c>
      <c r="B102" s="399">
        <v>240528.84585797501</v>
      </c>
      <c r="C102" s="382">
        <v>53153.974621084781</v>
      </c>
      <c r="D102" s="383">
        <v>-269786.37190876633</v>
      </c>
      <c r="E102" s="421">
        <v>1.8804817700000001</v>
      </c>
      <c r="F102" s="401">
        <v>29.59</v>
      </c>
      <c r="G102" s="384">
        <v>55.643455574299999</v>
      </c>
      <c r="H102" s="405">
        <v>2957670.8254258004</v>
      </c>
      <c r="I102" s="386">
        <v>-13840847.605813134</v>
      </c>
      <c r="J102" s="387">
        <v>13032058.656049738</v>
      </c>
      <c r="K102" s="387">
        <v>54.180855562516491</v>
      </c>
    </row>
    <row r="103" spans="1:15" hidden="1" x14ac:dyDescent="0.25">
      <c r="A103" s="348">
        <f t="shared" si="10"/>
        <v>40854</v>
      </c>
      <c r="B103" s="399">
        <v>364124.4004314749</v>
      </c>
      <c r="C103" s="382">
        <v>123595.55457349989</v>
      </c>
      <c r="D103" s="383">
        <v>-146190.81733526645</v>
      </c>
      <c r="E103" s="421">
        <v>1.8804817700000001</v>
      </c>
      <c r="F103" s="401">
        <v>29.59</v>
      </c>
      <c r="G103" s="384">
        <v>55.643455574299999</v>
      </c>
      <c r="H103" s="405">
        <v>6877283.7500915118</v>
      </c>
      <c r="I103" s="386">
        <v>-6963563.8557216227</v>
      </c>
      <c r="J103" s="387">
        <v>19909342.406141251</v>
      </c>
      <c r="K103" s="387">
        <v>54.677309135420103</v>
      </c>
    </row>
    <row r="104" spans="1:15" ht="13.8" hidden="1" thickBot="1" x14ac:dyDescent="0.3">
      <c r="A104" s="388">
        <f t="shared" si="10"/>
        <v>40885</v>
      </c>
      <c r="B104" s="389">
        <v>452547.77035624656</v>
      </c>
      <c r="C104" s="390">
        <v>88423.369924771658</v>
      </c>
      <c r="D104" s="391">
        <v>-57767.447410494788</v>
      </c>
      <c r="E104" s="422">
        <v>1.8804817700000001</v>
      </c>
      <c r="F104" s="393">
        <v>29.59</v>
      </c>
      <c r="G104" s="394">
        <v>55.643455574299999</v>
      </c>
      <c r="H104" s="419">
        <v>4920181.856138926</v>
      </c>
      <c r="I104" s="396">
        <v>-2043381.9995826967</v>
      </c>
      <c r="J104" s="398">
        <v>24829524.272280179</v>
      </c>
      <c r="K104" s="398">
        <v>54.866084640598991</v>
      </c>
      <c r="O104" s="423"/>
    </row>
    <row r="105" spans="1:15" hidden="1" x14ac:dyDescent="0.25"/>
    <row r="106" spans="1:15" ht="13.8" hidden="1" thickBot="1" x14ac:dyDescent="0.3">
      <c r="A106" s="420"/>
      <c r="B106" s="420"/>
      <c r="C106" s="420"/>
      <c r="D106" s="420"/>
      <c r="E106" s="420"/>
      <c r="F106" s="420"/>
      <c r="G106" s="420"/>
      <c r="H106" s="420"/>
      <c r="I106" s="420"/>
      <c r="J106" s="420"/>
      <c r="K106" s="420"/>
    </row>
    <row r="107" spans="1:15" hidden="1" x14ac:dyDescent="0.25">
      <c r="A107" s="348">
        <v>40909</v>
      </c>
      <c r="B107" s="399">
        <v>561433.16397805919</v>
      </c>
      <c r="C107" s="382">
        <v>108885.39362181263</v>
      </c>
      <c r="D107" s="383">
        <v>108885.39362181263</v>
      </c>
      <c r="E107" s="424">
        <v>1.8907009800000001</v>
      </c>
      <c r="F107" s="401">
        <v>31.03</v>
      </c>
      <c r="G107" s="384">
        <v>58.668451409400006</v>
      </c>
      <c r="H107" s="405">
        <v>6388137.4199999999</v>
      </c>
      <c r="I107" s="386">
        <v>6388137.4199999999</v>
      </c>
      <c r="J107" s="387">
        <v>31217661.692280181</v>
      </c>
      <c r="K107" s="387">
        <v>55.603522725814905</v>
      </c>
    </row>
    <row r="108" spans="1:15" hidden="1" x14ac:dyDescent="0.25">
      <c r="A108" s="348">
        <f>A107+31</f>
        <v>40940</v>
      </c>
      <c r="B108" s="399">
        <v>629222.57897324651</v>
      </c>
      <c r="C108" s="382">
        <v>67789.414995187311</v>
      </c>
      <c r="D108" s="383">
        <v>176674.80861699994</v>
      </c>
      <c r="E108" s="424">
        <v>1.8907009800000001</v>
      </c>
      <c r="F108" s="401">
        <v>31.03</v>
      </c>
      <c r="G108" s="384">
        <v>58.668451409400006</v>
      </c>
      <c r="H108" s="405">
        <v>3977099.9997167988</v>
      </c>
      <c r="I108" s="386">
        <v>10365237.419716798</v>
      </c>
      <c r="J108" s="387">
        <v>35194761.691996977</v>
      </c>
      <c r="K108" s="387">
        <v>55.933723404247701</v>
      </c>
    </row>
    <row r="109" spans="1:15" hidden="1" x14ac:dyDescent="0.25">
      <c r="A109" s="348">
        <f t="shared" ref="A109:A118" si="11">A108+31</f>
        <v>40971</v>
      </c>
      <c r="B109" s="399">
        <v>674176.39617337589</v>
      </c>
      <c r="C109" s="382">
        <v>44953.817200129386</v>
      </c>
      <c r="D109" s="383">
        <v>221628.62581712933</v>
      </c>
      <c r="E109" s="424">
        <v>1.8907009800000001</v>
      </c>
      <c r="F109" s="401">
        <v>31.03</v>
      </c>
      <c r="G109" s="384">
        <v>58.668451409400006</v>
      </c>
      <c r="H109" s="405">
        <v>2637370.8400728409</v>
      </c>
      <c r="I109" s="386">
        <v>13002608.259789638</v>
      </c>
      <c r="J109" s="387">
        <v>37832132.532069817</v>
      </c>
      <c r="K109" s="387">
        <v>56.116073993104678</v>
      </c>
      <c r="N109" s="425"/>
    </row>
    <row r="110" spans="1:15" hidden="1" x14ac:dyDescent="0.25">
      <c r="A110" s="348">
        <f t="shared" si="11"/>
        <v>41002</v>
      </c>
      <c r="B110" s="399">
        <v>675108.51658097107</v>
      </c>
      <c r="C110" s="382">
        <v>932.12040759518277</v>
      </c>
      <c r="D110" s="383">
        <v>222560.74622472451</v>
      </c>
      <c r="E110" s="424">
        <v>1.8907009800000001</v>
      </c>
      <c r="F110" s="401">
        <v>31.03</v>
      </c>
      <c r="G110" s="384">
        <v>58.668451409400006</v>
      </c>
      <c r="H110" s="405">
        <v>54686.060840708109</v>
      </c>
      <c r="I110" s="386">
        <v>13057294.320630345</v>
      </c>
      <c r="J110" s="387">
        <v>37886818.592910528</v>
      </c>
      <c r="K110" s="387">
        <v>56.119598053339715</v>
      </c>
      <c r="M110" s="338" t="s">
        <v>455</v>
      </c>
    </row>
    <row r="111" spans="1:15" hidden="1" x14ac:dyDescent="0.25">
      <c r="A111" s="348">
        <f t="shared" si="11"/>
        <v>41033</v>
      </c>
      <c r="B111" s="399">
        <v>654427.62744821515</v>
      </c>
      <c r="C111" s="382">
        <v>-20680.889132755925</v>
      </c>
      <c r="D111" s="383">
        <v>201879.85709196859</v>
      </c>
      <c r="E111" s="424">
        <v>1.8907009800000001</v>
      </c>
      <c r="F111" s="401">
        <v>31.03</v>
      </c>
      <c r="G111" s="384">
        <v>56.119598053339715</v>
      </c>
      <c r="H111" s="405">
        <v>-1160603.1855159439</v>
      </c>
      <c r="I111" s="386">
        <v>11896691.135114402</v>
      </c>
      <c r="J111" s="387">
        <v>36726215.407394588</v>
      </c>
      <c r="K111" s="387">
        <v>56.119598053339722</v>
      </c>
      <c r="N111" s="425"/>
    </row>
    <row r="112" spans="1:15" hidden="1" x14ac:dyDescent="0.25">
      <c r="A112" s="348">
        <f t="shared" si="11"/>
        <v>41064</v>
      </c>
      <c r="B112" s="399">
        <v>570962.79618413723</v>
      </c>
      <c r="C112" s="382">
        <v>-83464.831264077919</v>
      </c>
      <c r="D112" s="383">
        <v>118415.02582789067</v>
      </c>
      <c r="E112" s="424">
        <v>1.8907009800000001</v>
      </c>
      <c r="F112" s="401">
        <v>31.03</v>
      </c>
      <c r="G112" s="384">
        <v>56.119598053339722</v>
      </c>
      <c r="H112" s="405">
        <v>-4684012.7821298754</v>
      </c>
      <c r="I112" s="386">
        <v>7212678.3529845262</v>
      </c>
      <c r="J112" s="387">
        <v>32042202.625264712</v>
      </c>
      <c r="K112" s="387">
        <v>56.119598053339722</v>
      </c>
    </row>
    <row r="113" spans="1:15" hidden="1" x14ac:dyDescent="0.25">
      <c r="A113" s="348">
        <f t="shared" si="11"/>
        <v>41095</v>
      </c>
      <c r="B113" s="399">
        <v>428542.60241048445</v>
      </c>
      <c r="C113" s="382">
        <v>-142420.19377365278</v>
      </c>
      <c r="D113" s="383">
        <v>-24005.167945762107</v>
      </c>
      <c r="E113" s="424">
        <v>1.8907009800000001</v>
      </c>
      <c r="F113" s="401">
        <v>31.03</v>
      </c>
      <c r="G113" s="384">
        <v>56.119598053339722</v>
      </c>
      <c r="H113" s="405">
        <v>-7992564.0292561501</v>
      </c>
      <c r="I113" s="386">
        <v>-779885.67627162393</v>
      </c>
      <c r="J113" s="387">
        <v>24049638.596008562</v>
      </c>
      <c r="K113" s="387">
        <v>56.119598053339722</v>
      </c>
    </row>
    <row r="114" spans="1:15" hidden="1" x14ac:dyDescent="0.25">
      <c r="A114" s="348">
        <f>A113+31</f>
        <v>41126</v>
      </c>
      <c r="B114" s="399">
        <v>333018.92071688105</v>
      </c>
      <c r="C114" s="382">
        <v>-95523.681693603401</v>
      </c>
      <c r="D114" s="383">
        <v>-119528.84963936551</v>
      </c>
      <c r="E114" s="424">
        <v>1.8907009800000001</v>
      </c>
      <c r="F114" s="401">
        <v>31.03</v>
      </c>
      <c r="G114" s="384">
        <v>56.119598053339722</v>
      </c>
      <c r="H114" s="405">
        <v>-5360750.6212201882</v>
      </c>
      <c r="I114" s="386">
        <v>-6140636.2974918121</v>
      </c>
      <c r="J114" s="387">
        <v>18688887.974788375</v>
      </c>
      <c r="K114" s="387">
        <v>56.119598053339729</v>
      </c>
    </row>
    <row r="115" spans="1:15" hidden="1" x14ac:dyDescent="0.25">
      <c r="A115" s="348">
        <f t="shared" si="11"/>
        <v>41157</v>
      </c>
      <c r="B115" s="399">
        <v>333323.98788999999</v>
      </c>
      <c r="C115" s="382">
        <v>305.0671731189359</v>
      </c>
      <c r="D115" s="383">
        <v>-119223.78246624657</v>
      </c>
      <c r="E115" s="424">
        <v>1.8907009800000001</v>
      </c>
      <c r="F115" s="401">
        <v>31.03</v>
      </c>
      <c r="G115" s="384">
        <v>58.668451409400006</v>
      </c>
      <c r="H115" s="405">
        <v>17897.818622731309</v>
      </c>
      <c r="I115" s="386">
        <v>-6122738.4788690805</v>
      </c>
      <c r="J115" s="387">
        <v>18706785.793411106</v>
      </c>
      <c r="K115" s="387">
        <v>56.121930833206399</v>
      </c>
    </row>
    <row r="116" spans="1:15" hidden="1" x14ac:dyDescent="0.25">
      <c r="A116" s="348">
        <f t="shared" si="11"/>
        <v>41188</v>
      </c>
      <c r="B116" s="399">
        <v>258215.00015000001</v>
      </c>
      <c r="C116" s="382">
        <v>-75108.987739999982</v>
      </c>
      <c r="D116" s="383">
        <v>-194332.77020624655</v>
      </c>
      <c r="E116" s="424">
        <v>1.8907009800000001</v>
      </c>
      <c r="F116" s="401">
        <v>31.03</v>
      </c>
      <c r="G116" s="384">
        <v>56.121930833206399</v>
      </c>
      <c r="H116" s="405">
        <v>-4215261.4148964267</v>
      </c>
      <c r="I116" s="386">
        <v>-10337999.893765507</v>
      </c>
      <c r="J116" s="387">
        <v>14491524.378514679</v>
      </c>
      <c r="K116" s="387">
        <v>56.121930833206392</v>
      </c>
    </row>
    <row r="117" spans="1:15" hidden="1" x14ac:dyDescent="0.25">
      <c r="A117" s="348">
        <f t="shared" si="11"/>
        <v>41219</v>
      </c>
      <c r="B117" s="399">
        <v>368938.5172</v>
      </c>
      <c r="C117" s="382">
        <v>110723.51704999999</v>
      </c>
      <c r="D117" s="383">
        <v>-83609.253156246559</v>
      </c>
      <c r="E117" s="424">
        <v>1.8907009800000001</v>
      </c>
      <c r="F117" s="401">
        <v>31.03</v>
      </c>
      <c r="G117" s="384">
        <v>58.668451409400006</v>
      </c>
      <c r="H117" s="405">
        <v>6495977.2799257981</v>
      </c>
      <c r="I117" s="386">
        <v>-3842022.6138397092</v>
      </c>
      <c r="J117" s="387">
        <v>20987501.658440478</v>
      </c>
      <c r="K117" s="387">
        <v>56.886176639191191</v>
      </c>
    </row>
    <row r="118" spans="1:15" ht="13.8" hidden="1" thickBot="1" x14ac:dyDescent="0.3">
      <c r="A118" s="388">
        <f t="shared" si="11"/>
        <v>41250</v>
      </c>
      <c r="B118" s="389">
        <v>425895.02409999998</v>
      </c>
      <c r="C118" s="390">
        <v>56956.506899999978</v>
      </c>
      <c r="D118" s="391">
        <v>-26652.746256246581</v>
      </c>
      <c r="E118" s="426">
        <v>1.8907009800000001</v>
      </c>
      <c r="F118" s="393">
        <v>31.03</v>
      </c>
      <c r="G118" s="394">
        <v>58.668451409400006</v>
      </c>
      <c r="H118" s="419">
        <v>3341550.0575118051</v>
      </c>
      <c r="I118" s="396">
        <v>-500472.55632790411</v>
      </c>
      <c r="J118" s="398">
        <v>24329051.715952285</v>
      </c>
      <c r="K118" s="398">
        <v>57.124526794752676</v>
      </c>
      <c r="O118" s="423"/>
    </row>
    <row r="119" spans="1:15" hidden="1" x14ac:dyDescent="0.25"/>
    <row r="120" spans="1:15" ht="13.8" hidden="1" thickBot="1" x14ac:dyDescent="0.3">
      <c r="A120" s="420"/>
      <c r="B120" s="420"/>
      <c r="C120" s="420"/>
      <c r="D120" s="420"/>
      <c r="E120" s="420"/>
      <c r="F120" s="420"/>
      <c r="G120" s="420"/>
      <c r="H120" s="420"/>
      <c r="I120" s="420"/>
      <c r="J120" s="420"/>
      <c r="K120" s="420"/>
    </row>
    <row r="121" spans="1:15" hidden="1" x14ac:dyDescent="0.25">
      <c r="A121" s="348">
        <v>41275</v>
      </c>
      <c r="B121" s="399">
        <v>454989.40596547612</v>
      </c>
      <c r="C121" s="382">
        <v>29094.381865476142</v>
      </c>
      <c r="D121" s="383">
        <v>29094.381865476142</v>
      </c>
      <c r="E121" s="424">
        <v>1.8434710599999999</v>
      </c>
      <c r="F121" s="401">
        <v>30.7</v>
      </c>
      <c r="G121" s="384">
        <v>56.594561541999994</v>
      </c>
      <c r="H121" s="405">
        <v>1646583.79</v>
      </c>
      <c r="I121" s="386">
        <v>1646583.79</v>
      </c>
      <c r="J121" s="387">
        <v>25975635.505952284</v>
      </c>
      <c r="K121" s="387">
        <v>57.090638079435358</v>
      </c>
    </row>
    <row r="122" spans="1:15" hidden="1" x14ac:dyDescent="0.25">
      <c r="A122" s="348">
        <f>A121+31</f>
        <v>41306</v>
      </c>
      <c r="B122" s="399">
        <v>544514.83631749451</v>
      </c>
      <c r="C122" s="382">
        <v>89525.430352018389</v>
      </c>
      <c r="D122" s="383">
        <v>118619.81221749453</v>
      </c>
      <c r="E122" s="424">
        <v>1.8434710599999999</v>
      </c>
      <c r="F122" s="401">
        <v>30.7</v>
      </c>
      <c r="G122" s="384">
        <v>56.594561541999994</v>
      </c>
      <c r="H122" s="405">
        <v>5066652.4776313389</v>
      </c>
      <c r="I122" s="386">
        <v>6713236.2676313389</v>
      </c>
      <c r="J122" s="387">
        <v>31042287.983583622</v>
      </c>
      <c r="K122" s="387">
        <v>57.00907654513118</v>
      </c>
    </row>
    <row r="123" spans="1:15" hidden="1" x14ac:dyDescent="0.25">
      <c r="A123" s="348">
        <f t="shared" ref="A123:A132" si="12">A122+31</f>
        <v>41337</v>
      </c>
      <c r="B123" s="399">
        <v>612087.61869731208</v>
      </c>
      <c r="C123" s="382">
        <v>67572.782379817567</v>
      </c>
      <c r="D123" s="383">
        <v>186192.5945973121</v>
      </c>
      <c r="E123" s="424">
        <v>1.8434710599999999</v>
      </c>
      <c r="F123" s="401">
        <v>30.7</v>
      </c>
      <c r="G123" s="384">
        <v>56.594561541999994</v>
      </c>
      <c r="H123" s="405">
        <v>3824251.9909587582</v>
      </c>
      <c r="I123" s="386">
        <v>10537488.258590097</v>
      </c>
      <c r="J123" s="387">
        <v>34866539.974542379</v>
      </c>
      <c r="K123" s="387">
        <v>56.963315233769642</v>
      </c>
      <c r="N123" s="425"/>
    </row>
    <row r="124" spans="1:15" hidden="1" x14ac:dyDescent="0.25">
      <c r="A124" s="348">
        <f t="shared" si="12"/>
        <v>41368</v>
      </c>
      <c r="B124" s="399">
        <v>578145.66055212624</v>
      </c>
      <c r="C124" s="382">
        <v>-33941.958145185839</v>
      </c>
      <c r="D124" s="383">
        <v>152250.63645212626</v>
      </c>
      <c r="E124" s="424">
        <v>1.8434710599999999</v>
      </c>
      <c r="F124" s="401">
        <v>30.7</v>
      </c>
      <c r="G124" s="384">
        <v>56.963315233769642</v>
      </c>
      <c r="H124" s="405">
        <v>-1933446.4674756362</v>
      </c>
      <c r="I124" s="386">
        <v>8604041.7911144607</v>
      </c>
      <c r="J124" s="387">
        <v>32933093.507066742</v>
      </c>
      <c r="K124" s="387">
        <v>56.963315223391632</v>
      </c>
      <c r="M124" s="338" t="s">
        <v>455</v>
      </c>
    </row>
    <row r="125" spans="1:15" hidden="1" x14ac:dyDescent="0.25">
      <c r="A125" s="348">
        <f t="shared" si="12"/>
        <v>41399</v>
      </c>
      <c r="B125" s="399">
        <v>556206.77520000003</v>
      </c>
      <c r="C125" s="382">
        <v>-21938.885352126206</v>
      </c>
      <c r="D125" s="383">
        <v>130311.75110000005</v>
      </c>
      <c r="E125" s="424">
        <v>1.8434710599999999</v>
      </c>
      <c r="F125" s="401">
        <v>30.7</v>
      </c>
      <c r="G125" s="384">
        <v>56.963315223391632</v>
      </c>
      <c r="H125" s="405">
        <v>-1249711.6419630144</v>
      </c>
      <c r="I125" s="386">
        <v>7354330.1491514463</v>
      </c>
      <c r="J125" s="387">
        <v>31683381.865103729</v>
      </c>
      <c r="K125" s="387">
        <v>56.963315223391632</v>
      </c>
      <c r="N125" s="425"/>
    </row>
    <row r="126" spans="1:15" hidden="1" x14ac:dyDescent="0.25">
      <c r="A126" s="348">
        <f t="shared" si="12"/>
        <v>41430</v>
      </c>
      <c r="B126" s="399">
        <v>475096.75076788262</v>
      </c>
      <c r="C126" s="382">
        <v>-81110.02443211741</v>
      </c>
      <c r="D126" s="383">
        <v>49201.726667882642</v>
      </c>
      <c r="E126" s="424">
        <v>1.8434710599999999</v>
      </c>
      <c r="F126" s="401">
        <v>30.7</v>
      </c>
      <c r="G126" s="384">
        <v>56.963315223391632</v>
      </c>
      <c r="H126" s="405">
        <v>-4620295.8895037007</v>
      </c>
      <c r="I126" s="386">
        <v>2734034.2596477456</v>
      </c>
      <c r="J126" s="387">
        <v>27063085.975600027</v>
      </c>
      <c r="K126" s="387">
        <v>56.963315223391632</v>
      </c>
    </row>
    <row r="127" spans="1:15" hidden="1" x14ac:dyDescent="0.25">
      <c r="A127" s="348">
        <f t="shared" si="12"/>
        <v>41461</v>
      </c>
      <c r="B127" s="399">
        <v>378593.72766203788</v>
      </c>
      <c r="C127" s="382">
        <v>-96503.023105844739</v>
      </c>
      <c r="D127" s="383">
        <v>-47301.296437962097</v>
      </c>
      <c r="E127" s="424">
        <v>1.8434710599999999</v>
      </c>
      <c r="F127" s="401">
        <v>30.7</v>
      </c>
      <c r="G127" s="384">
        <v>56.963315223391632</v>
      </c>
      <c r="H127" s="405">
        <v>-5497132.1251884801</v>
      </c>
      <c r="I127" s="386">
        <v>-2763097.8655407345</v>
      </c>
      <c r="J127" s="387">
        <v>21565953.850411545</v>
      </c>
      <c r="K127" s="387">
        <v>56.963315223391625</v>
      </c>
    </row>
    <row r="128" spans="1:15" hidden="1" x14ac:dyDescent="0.25">
      <c r="A128" s="348">
        <f>A127+31</f>
        <v>41492</v>
      </c>
      <c r="B128" s="399">
        <v>289882.92302558845</v>
      </c>
      <c r="C128" s="382">
        <v>-88710.804636449437</v>
      </c>
      <c r="D128" s="383">
        <v>-136012.10107441153</v>
      </c>
      <c r="E128" s="424">
        <v>1.8434710599999999</v>
      </c>
      <c r="F128" s="401">
        <v>30.7</v>
      </c>
      <c r="G128" s="384">
        <v>56.963315223391625</v>
      </c>
      <c r="H128" s="405">
        <v>-5053261.5282267807</v>
      </c>
      <c r="I128" s="386">
        <v>-7816359.3937675152</v>
      </c>
      <c r="J128" s="387">
        <v>16512692.322184764</v>
      </c>
      <c r="K128" s="387">
        <v>56.963315223391618</v>
      </c>
    </row>
    <row r="129" spans="1:15" hidden="1" x14ac:dyDescent="0.25">
      <c r="A129" s="348">
        <f t="shared" si="12"/>
        <v>41523</v>
      </c>
      <c r="B129" s="399">
        <v>316034.90734071791</v>
      </c>
      <c r="C129" s="382">
        <v>26151.984315129463</v>
      </c>
      <c r="D129" s="383">
        <v>-109860.11675928207</v>
      </c>
      <c r="E129" s="424">
        <v>1.8434710599999999</v>
      </c>
      <c r="F129" s="401">
        <v>30.7</v>
      </c>
      <c r="G129" s="384">
        <v>56.594561541999994</v>
      </c>
      <c r="H129" s="405">
        <v>1480060.085768013</v>
      </c>
      <c r="I129" s="386">
        <v>-6336299.3079995019</v>
      </c>
      <c r="J129" s="387">
        <v>17992752.407952778</v>
      </c>
      <c r="K129" s="387">
        <v>56.932800744554314</v>
      </c>
    </row>
    <row r="130" spans="1:15" hidden="1" x14ac:dyDescent="0.25">
      <c r="A130" s="348">
        <f t="shared" si="12"/>
        <v>41554</v>
      </c>
      <c r="B130" s="399">
        <v>394904.85384067456</v>
      </c>
      <c r="C130" s="382">
        <v>78869.946499956655</v>
      </c>
      <c r="D130" s="383">
        <v>-30990.170259325416</v>
      </c>
      <c r="E130" s="424">
        <v>1.8434710599999999</v>
      </c>
      <c r="F130" s="401">
        <v>30.7</v>
      </c>
      <c r="G130" s="384">
        <v>56.594561541999994</v>
      </c>
      <c r="H130" s="405">
        <v>4463610.0410060436</v>
      </c>
      <c r="I130" s="386">
        <v>-1872689.2669934584</v>
      </c>
      <c r="J130" s="387">
        <v>22456362.448958822</v>
      </c>
      <c r="K130" s="387">
        <v>56.865247997227456</v>
      </c>
    </row>
    <row r="131" spans="1:15" hidden="1" x14ac:dyDescent="0.25">
      <c r="A131" s="348">
        <f t="shared" si="12"/>
        <v>41585</v>
      </c>
      <c r="B131" s="399">
        <v>476727.8938848601</v>
      </c>
      <c r="C131" s="382">
        <v>81823.040044185531</v>
      </c>
      <c r="D131" s="383">
        <v>50832.869784860115</v>
      </c>
      <c r="E131" s="424">
        <v>1.8434710599999999</v>
      </c>
      <c r="F131" s="401">
        <v>30.7</v>
      </c>
      <c r="G131" s="384">
        <v>56.594561541999994</v>
      </c>
      <c r="H131" s="405">
        <v>4630739.0753341876</v>
      </c>
      <c r="I131" s="386">
        <v>2758049.8083407292</v>
      </c>
      <c r="J131" s="387">
        <v>27087101.524293009</v>
      </c>
      <c r="K131" s="387">
        <v>56.818788813803117</v>
      </c>
    </row>
    <row r="132" spans="1:15" ht="13.8" hidden="1" thickBot="1" x14ac:dyDescent="0.3">
      <c r="A132" s="388">
        <f t="shared" si="12"/>
        <v>41616</v>
      </c>
      <c r="B132" s="389">
        <v>518153.15603396337</v>
      </c>
      <c r="C132" s="390">
        <v>41425.262149103277</v>
      </c>
      <c r="D132" s="391">
        <v>92258.131933963392</v>
      </c>
      <c r="E132" s="426">
        <v>1.8434710599999999</v>
      </c>
      <c r="F132" s="393">
        <v>30.7</v>
      </c>
      <c r="G132" s="394">
        <v>56.594561541999994</v>
      </c>
      <c r="H132" s="419">
        <v>2344444.5480909082</v>
      </c>
      <c r="I132" s="396">
        <v>5102494.356431637</v>
      </c>
      <c r="J132" s="398">
        <v>29431546.072383918</v>
      </c>
      <c r="K132" s="398">
        <v>56.800862311943092</v>
      </c>
      <c r="O132" s="423"/>
    </row>
    <row r="133" spans="1:15" hidden="1" x14ac:dyDescent="0.25"/>
    <row r="134" spans="1:15" hidden="1" x14ac:dyDescent="0.25"/>
    <row r="135" spans="1:15" hidden="1" x14ac:dyDescent="0.25">
      <c r="A135" s="427">
        <v>41640</v>
      </c>
      <c r="B135" s="407">
        <v>543086.00184723316</v>
      </c>
      <c r="C135" s="408">
        <v>24932.845813269785</v>
      </c>
      <c r="D135" s="409">
        <v>24932.845813269785</v>
      </c>
      <c r="E135" s="428">
        <v>1.8694371299999999</v>
      </c>
      <c r="F135" s="410">
        <v>32.24</v>
      </c>
      <c r="G135" s="411">
        <v>60.270653071200002</v>
      </c>
      <c r="H135" s="429">
        <v>1502718.9</v>
      </c>
      <c r="I135" s="413">
        <v>1502718.9</v>
      </c>
      <c r="J135" s="414">
        <v>30934264.972383916</v>
      </c>
      <c r="K135" s="430">
        <v>56.960158919886027</v>
      </c>
    </row>
    <row r="136" spans="1:15" hidden="1" x14ac:dyDescent="0.25">
      <c r="A136" s="431">
        <f>A135+31</f>
        <v>41671</v>
      </c>
      <c r="B136" s="399">
        <v>594863.30562786374</v>
      </c>
      <c r="C136" s="382">
        <v>51777.30378063058</v>
      </c>
      <c r="D136" s="383">
        <v>76710.149593900365</v>
      </c>
      <c r="E136" s="424">
        <v>1.8694371299999999</v>
      </c>
      <c r="F136" s="401">
        <v>32.24</v>
      </c>
      <c r="G136" s="384">
        <v>60.270653071200002</v>
      </c>
      <c r="H136" s="405">
        <v>3120651.913124518</v>
      </c>
      <c r="I136" s="386">
        <v>4623370.8131245179</v>
      </c>
      <c r="J136" s="387">
        <v>34054916.885508433</v>
      </c>
      <c r="K136" s="432">
        <v>57.248306566101427</v>
      </c>
    </row>
    <row r="137" spans="1:15" hidden="1" x14ac:dyDescent="0.25">
      <c r="A137" s="431">
        <f t="shared" ref="A137:A146" si="13">A136+31</f>
        <v>41702</v>
      </c>
      <c r="B137" s="399">
        <v>640630.36194405379</v>
      </c>
      <c r="C137" s="382">
        <v>45767.05631619005</v>
      </c>
      <c r="D137" s="383">
        <v>122477.20591009042</v>
      </c>
      <c r="E137" s="424">
        <v>1.8694371299999999</v>
      </c>
      <c r="F137" s="401">
        <v>32.24</v>
      </c>
      <c r="G137" s="384">
        <v>60.270653071200002</v>
      </c>
      <c r="H137" s="405">
        <v>2758410.3733231635</v>
      </c>
      <c r="I137" s="386">
        <v>7381781.1864476819</v>
      </c>
      <c r="J137" s="387">
        <v>36813327.258831598</v>
      </c>
      <c r="K137" s="432">
        <v>57.464224997263713</v>
      </c>
      <c r="N137" s="425"/>
    </row>
    <row r="138" spans="1:15" hidden="1" x14ac:dyDescent="0.25">
      <c r="A138" s="431">
        <f t="shared" si="13"/>
        <v>41733</v>
      </c>
      <c r="B138" s="399">
        <v>645146.07870896405</v>
      </c>
      <c r="C138" s="382">
        <v>4515.716764910263</v>
      </c>
      <c r="D138" s="383">
        <v>126992.92267500068</v>
      </c>
      <c r="E138" s="424">
        <v>1.8694371299999999</v>
      </c>
      <c r="F138" s="401">
        <v>32.24</v>
      </c>
      <c r="G138" s="384">
        <v>60.270653071200002</v>
      </c>
      <c r="H138" s="405">
        <v>272165.19850570807</v>
      </c>
      <c r="I138" s="386">
        <v>7653946.3849533899</v>
      </c>
      <c r="J138" s="387">
        <v>37085492.457337305</v>
      </c>
      <c r="K138" s="432">
        <v>57.483868663591736</v>
      </c>
      <c r="M138" s="338" t="s">
        <v>455</v>
      </c>
    </row>
    <row r="139" spans="1:15" hidden="1" x14ac:dyDescent="0.25">
      <c r="A139" s="431">
        <f t="shared" si="13"/>
        <v>41764</v>
      </c>
      <c r="B139" s="399">
        <v>630201.80214183999</v>
      </c>
      <c r="C139" s="382">
        <v>-14944.276567124063</v>
      </c>
      <c r="D139" s="383">
        <v>112048.64610787662</v>
      </c>
      <c r="E139" s="424">
        <v>1.8694371299999999</v>
      </c>
      <c r="F139" s="401">
        <v>32.24</v>
      </c>
      <c r="G139" s="384">
        <v>57.483868663591736</v>
      </c>
      <c r="H139" s="405">
        <v>-859054.83145695121</v>
      </c>
      <c r="I139" s="386">
        <v>6794891.553496439</v>
      </c>
      <c r="J139" s="387">
        <v>36226437.625880353</v>
      </c>
      <c r="K139" s="432">
        <v>57.483868663591736</v>
      </c>
      <c r="N139" s="425"/>
    </row>
    <row r="140" spans="1:15" hidden="1" x14ac:dyDescent="0.25">
      <c r="A140" s="431">
        <f t="shared" si="13"/>
        <v>41795</v>
      </c>
      <c r="B140" s="399">
        <v>559247.65448863513</v>
      </c>
      <c r="C140" s="382">
        <v>-70954.147653204855</v>
      </c>
      <c r="D140" s="383">
        <v>41094.498454671761</v>
      </c>
      <c r="E140" s="424">
        <v>1.8694371299999999</v>
      </c>
      <c r="F140" s="401">
        <v>32.24</v>
      </c>
      <c r="G140" s="384">
        <v>57.483868663591736</v>
      </c>
      <c r="H140" s="405">
        <v>-4078718.9048339236</v>
      </c>
      <c r="I140" s="386">
        <v>2716172.6486625155</v>
      </c>
      <c r="J140" s="387">
        <v>32147718.721046429</v>
      </c>
      <c r="K140" s="432">
        <v>57.483868663591728</v>
      </c>
    </row>
    <row r="141" spans="1:15" hidden="1" x14ac:dyDescent="0.25">
      <c r="A141" s="431">
        <f t="shared" si="13"/>
        <v>41826</v>
      </c>
      <c r="B141" s="399">
        <v>461116.08678473136</v>
      </c>
      <c r="C141" s="382">
        <v>-98131.567703903769</v>
      </c>
      <c r="D141" s="383">
        <v>-57037.069249232009</v>
      </c>
      <c r="E141" s="424">
        <v>1.8694371299999999</v>
      </c>
      <c r="F141" s="401">
        <v>32.24</v>
      </c>
      <c r="G141" s="384">
        <v>57.483868663591728</v>
      </c>
      <c r="H141" s="405">
        <v>-5640982.1496435637</v>
      </c>
      <c r="I141" s="386">
        <v>-2924809.5009810482</v>
      </c>
      <c r="J141" s="387">
        <v>26506736.571402866</v>
      </c>
      <c r="K141" s="432">
        <v>57.483868663591736</v>
      </c>
    </row>
    <row r="142" spans="1:15" hidden="1" x14ac:dyDescent="0.25">
      <c r="A142" s="431">
        <f>A141+31</f>
        <v>41857</v>
      </c>
      <c r="B142" s="399">
        <v>392344.0627401066</v>
      </c>
      <c r="C142" s="382">
        <v>-68772.024044624763</v>
      </c>
      <c r="D142" s="383">
        <v>-125809.09329385677</v>
      </c>
      <c r="E142" s="424">
        <v>1.8694371299999999</v>
      </c>
      <c r="F142" s="401">
        <v>32.24</v>
      </c>
      <c r="G142" s="384">
        <v>57.483868663591736</v>
      </c>
      <c r="H142" s="405">
        <v>-3953281.9979105829</v>
      </c>
      <c r="I142" s="386">
        <v>-6878091.4988916311</v>
      </c>
      <c r="J142" s="387">
        <v>22553454.573492285</v>
      </c>
      <c r="K142" s="432">
        <v>57.483868663591736</v>
      </c>
    </row>
    <row r="143" spans="1:15" hidden="1" x14ac:dyDescent="0.25">
      <c r="A143" s="431">
        <f t="shared" si="13"/>
        <v>41888</v>
      </c>
      <c r="B143" s="399">
        <v>412990.84997692128</v>
      </c>
      <c r="C143" s="382">
        <v>20646.787236814678</v>
      </c>
      <c r="D143" s="383">
        <v>-105162.30605704209</v>
      </c>
      <c r="E143" s="424">
        <v>1.8694371299999999</v>
      </c>
      <c r="F143" s="401">
        <v>32.24</v>
      </c>
      <c r="G143" s="384">
        <v>60.270653071200002</v>
      </c>
      <c r="H143" s="405">
        <v>1244395.3505849375</v>
      </c>
      <c r="I143" s="386">
        <v>-5633696.1483066939</v>
      </c>
      <c r="J143" s="387">
        <v>23797849.924077224</v>
      </c>
      <c r="K143" s="432">
        <v>57.62318929198333</v>
      </c>
    </row>
    <row r="144" spans="1:15" hidden="1" x14ac:dyDescent="0.25">
      <c r="A144" s="431">
        <f t="shared" si="13"/>
        <v>41919</v>
      </c>
      <c r="B144" s="399">
        <v>432267.47170907637</v>
      </c>
      <c r="C144" s="382">
        <v>19276.621732155094</v>
      </c>
      <c r="D144" s="383">
        <v>-85885.684324886999</v>
      </c>
      <c r="E144" s="424">
        <v>1.8694371299999999</v>
      </c>
      <c r="F144" s="401">
        <v>32.24</v>
      </c>
      <c r="G144" s="384">
        <v>60.270653071200002</v>
      </c>
      <c r="H144" s="405">
        <v>1161814.5808034742</v>
      </c>
      <c r="I144" s="386">
        <v>-4471881.5675032195</v>
      </c>
      <c r="J144" s="387">
        <v>24959664.504880697</v>
      </c>
      <c r="K144" s="432">
        <v>57.741250819073869</v>
      </c>
    </row>
    <row r="145" spans="1:15" hidden="1" x14ac:dyDescent="0.25">
      <c r="A145" s="431">
        <f t="shared" si="13"/>
        <v>41950</v>
      </c>
      <c r="B145" s="399">
        <v>487614.02426279371</v>
      </c>
      <c r="C145" s="382">
        <v>55346.552553717338</v>
      </c>
      <c r="D145" s="383">
        <v>-30539.131771169661</v>
      </c>
      <c r="E145" s="424">
        <v>1.8694371299999999</v>
      </c>
      <c r="F145" s="401">
        <v>32.24</v>
      </c>
      <c r="G145" s="384">
        <v>60.270653071200002</v>
      </c>
      <c r="H145" s="405">
        <v>3335772.8676520362</v>
      </c>
      <c r="I145" s="386">
        <v>-1136108.6998511832</v>
      </c>
      <c r="J145" s="387">
        <v>28295437.372532733</v>
      </c>
      <c r="K145" s="432">
        <v>58.028350220877257</v>
      </c>
    </row>
    <row r="146" spans="1:15" ht="13.8" hidden="1" thickBot="1" x14ac:dyDescent="0.3">
      <c r="A146" s="433">
        <f t="shared" si="13"/>
        <v>41981</v>
      </c>
      <c r="B146" s="389">
        <v>545309.9341452556</v>
      </c>
      <c r="C146" s="390">
        <v>57695.909882461885</v>
      </c>
      <c r="D146" s="391">
        <v>27156.778111292224</v>
      </c>
      <c r="E146" s="426">
        <v>1.8694371299999999</v>
      </c>
      <c r="F146" s="393">
        <v>32.24</v>
      </c>
      <c r="G146" s="394">
        <v>60.270653071200002</v>
      </c>
      <c r="H146" s="419">
        <v>3477370.1681530802</v>
      </c>
      <c r="I146" s="396">
        <v>2341261.4683018969</v>
      </c>
      <c r="J146" s="398">
        <v>31772807.540685814</v>
      </c>
      <c r="K146" s="434">
        <v>58.265594575107102</v>
      </c>
      <c r="O146" s="423"/>
    </row>
    <row r="147" spans="1:15" hidden="1" x14ac:dyDescent="0.25">
      <c r="A147" s="352"/>
      <c r="B147" s="435"/>
      <c r="C147" s="436"/>
      <c r="D147" s="436"/>
      <c r="E147" s="437"/>
      <c r="G147" s="438"/>
      <c r="H147" s="439"/>
      <c r="I147" s="440"/>
      <c r="J147" s="425"/>
      <c r="K147" s="425"/>
      <c r="O147" s="423"/>
    </row>
    <row r="148" spans="1:15" hidden="1" x14ac:dyDescent="0.25"/>
    <row r="149" spans="1:15" hidden="1" x14ac:dyDescent="0.25">
      <c r="A149" s="427">
        <v>42005</v>
      </c>
      <c r="B149" s="407">
        <v>660132</v>
      </c>
      <c r="C149" s="408">
        <v>114822.0658547444</v>
      </c>
      <c r="D149" s="409">
        <v>114822.0658547444</v>
      </c>
      <c r="E149" s="428">
        <v>1.9191737250000001</v>
      </c>
      <c r="F149" s="410">
        <v>36.6</v>
      </c>
      <c r="G149" s="411">
        <v>70.241758335</v>
      </c>
      <c r="H149" s="429">
        <v>8065303.7999999998</v>
      </c>
      <c r="I149" s="413">
        <v>8065303.7999999998</v>
      </c>
      <c r="J149" s="414">
        <v>39838111.340685815</v>
      </c>
      <c r="K149" s="430">
        <v>60.348705017611351</v>
      </c>
      <c r="M149" s="441"/>
    </row>
    <row r="150" spans="1:15" hidden="1" x14ac:dyDescent="0.25">
      <c r="A150" s="431">
        <f>A149+31</f>
        <v>42036</v>
      </c>
      <c r="B150" s="399">
        <v>684028.79222881957</v>
      </c>
      <c r="C150" s="382">
        <v>23896.79222881957</v>
      </c>
      <c r="D150" s="383">
        <v>138718.85808356397</v>
      </c>
      <c r="E150" s="442">
        <v>1.9191737250000001</v>
      </c>
      <c r="F150" s="377">
        <v>36.6</v>
      </c>
      <c r="G150" s="384">
        <v>70.241758335</v>
      </c>
      <c r="H150" s="405">
        <v>1678552.7047184503</v>
      </c>
      <c r="I150" s="386">
        <v>9743856.5047184508</v>
      </c>
      <c r="J150" s="387">
        <v>41516664.045404263</v>
      </c>
      <c r="K150" s="432">
        <v>60.69432239851713</v>
      </c>
    </row>
    <row r="151" spans="1:15" hidden="1" x14ac:dyDescent="0.25">
      <c r="A151" s="431">
        <f t="shared" ref="A151:A160" si="14">A150+31</f>
        <v>42067</v>
      </c>
      <c r="B151" s="399">
        <v>688642.11789677874</v>
      </c>
      <c r="C151" s="382">
        <v>4613.3256679591723</v>
      </c>
      <c r="D151" s="383">
        <v>143332.18375152315</v>
      </c>
      <c r="E151" s="442">
        <v>1.9191737250000001</v>
      </c>
      <c r="F151" s="377">
        <v>36.6</v>
      </c>
      <c r="G151" s="384">
        <v>70.241758335</v>
      </c>
      <c r="H151" s="405">
        <v>324048.10668944061</v>
      </c>
      <c r="I151" s="386">
        <v>10067904.611407891</v>
      </c>
      <c r="J151" s="387">
        <v>41840712.152093701</v>
      </c>
      <c r="K151" s="432">
        <v>60.758282226306186</v>
      </c>
      <c r="N151" s="425"/>
    </row>
    <row r="152" spans="1:15" hidden="1" x14ac:dyDescent="0.25">
      <c r="A152" s="431">
        <f t="shared" si="14"/>
        <v>42098</v>
      </c>
      <c r="B152" s="399">
        <v>653208.17793410853</v>
      </c>
      <c r="C152" s="382">
        <v>-35433.939962670207</v>
      </c>
      <c r="D152" s="383">
        <v>107898.24378885294</v>
      </c>
      <c r="E152" s="442">
        <v>1.9191737250000001</v>
      </c>
      <c r="F152" s="377">
        <v>36.6</v>
      </c>
      <c r="G152" s="384">
        <v>60.758282226306186</v>
      </c>
      <c r="H152" s="405">
        <v>-2152905.3246419057</v>
      </c>
      <c r="I152" s="386">
        <v>7914999.2867659852</v>
      </c>
      <c r="J152" s="387">
        <v>39687806.827451795</v>
      </c>
      <c r="K152" s="432">
        <v>60.758282226306186</v>
      </c>
      <c r="M152" s="338"/>
    </row>
    <row r="153" spans="1:15" hidden="1" x14ac:dyDescent="0.25">
      <c r="A153" s="431">
        <f t="shared" si="14"/>
        <v>42129</v>
      </c>
      <c r="B153" s="399">
        <v>681890.39384601533</v>
      </c>
      <c r="C153" s="382">
        <v>28682.215911906795</v>
      </c>
      <c r="D153" s="383">
        <v>136580.45970075973</v>
      </c>
      <c r="E153" s="442">
        <v>1.9191737250000001</v>
      </c>
      <c r="F153" s="377">
        <v>36.6</v>
      </c>
      <c r="G153" s="384">
        <v>70.241758335</v>
      </c>
      <c r="H153" s="405">
        <v>2014689.2785964487</v>
      </c>
      <c r="I153" s="386">
        <v>9929688.5653624348</v>
      </c>
      <c r="J153" s="387">
        <v>41702496.106048241</v>
      </c>
      <c r="K153" s="432">
        <v>61.157183738631034</v>
      </c>
      <c r="N153" s="425"/>
    </row>
    <row r="154" spans="1:15" hidden="1" x14ac:dyDescent="0.25">
      <c r="A154" s="431">
        <f t="shared" si="14"/>
        <v>42160</v>
      </c>
      <c r="B154" s="399">
        <v>593692.54548454576</v>
      </c>
      <c r="C154" s="382">
        <v>-88197.848361469572</v>
      </c>
      <c r="D154" s="383">
        <v>48382.611339290161</v>
      </c>
      <c r="E154" s="442">
        <v>1.9191737250000001</v>
      </c>
      <c r="F154" s="377">
        <v>36.6</v>
      </c>
      <c r="G154" s="384">
        <v>61.157183738631034</v>
      </c>
      <c r="H154" s="405">
        <v>-5393932.0175943123</v>
      </c>
      <c r="I154" s="386">
        <v>4535756.5477681225</v>
      </c>
      <c r="J154" s="387">
        <v>36308564.088453926</v>
      </c>
      <c r="K154" s="432">
        <v>61.157183738631034</v>
      </c>
    </row>
    <row r="155" spans="1:15" hidden="1" x14ac:dyDescent="0.25">
      <c r="A155" s="431">
        <f t="shared" si="14"/>
        <v>42191</v>
      </c>
      <c r="B155" s="399">
        <v>500324.57157305075</v>
      </c>
      <c r="C155" s="382">
        <v>-93367.973911495006</v>
      </c>
      <c r="D155" s="383">
        <v>-44985.362572204845</v>
      </c>
      <c r="E155" s="442">
        <v>1.9191737250000001</v>
      </c>
      <c r="F155" s="377">
        <v>36.6</v>
      </c>
      <c r="G155" s="384">
        <v>61.157183738631034</v>
      </c>
      <c r="H155" s="405">
        <v>-5710122.3358090091</v>
      </c>
      <c r="I155" s="386">
        <v>-1174365.7880408866</v>
      </c>
      <c r="J155" s="387">
        <v>30598441.752644919</v>
      </c>
      <c r="K155" s="432">
        <v>61.157183738631034</v>
      </c>
    </row>
    <row r="156" spans="1:15" hidden="1" x14ac:dyDescent="0.25">
      <c r="A156" s="431">
        <f>A155+31</f>
        <v>42222</v>
      </c>
      <c r="B156" s="399">
        <v>399082.6661989211</v>
      </c>
      <c r="C156" s="382">
        <v>-101241.90537412965</v>
      </c>
      <c r="D156" s="383">
        <v>-146227.2679463345</v>
      </c>
      <c r="E156" s="442">
        <v>1.9191737250000001</v>
      </c>
      <c r="F156" s="377">
        <v>36.6</v>
      </c>
      <c r="G156" s="384">
        <v>61.157183738631034</v>
      </c>
      <c r="H156" s="405">
        <v>-6191669.8090147441</v>
      </c>
      <c r="I156" s="386">
        <v>-7366035.5970556308</v>
      </c>
      <c r="J156" s="387">
        <v>24406771.943630174</v>
      </c>
      <c r="K156" s="432">
        <v>61.157183738631034</v>
      </c>
    </row>
    <row r="157" spans="1:15" hidden="1" x14ac:dyDescent="0.25">
      <c r="A157" s="431">
        <f t="shared" si="14"/>
        <v>42253</v>
      </c>
      <c r="B157" s="399">
        <v>435576.12389639515</v>
      </c>
      <c r="C157" s="382">
        <v>36493.457697474048</v>
      </c>
      <c r="D157" s="383">
        <v>-109733.81024886045</v>
      </c>
      <c r="E157" s="442">
        <v>1.9191737250000001</v>
      </c>
      <c r="F157" s="377">
        <v>36.6</v>
      </c>
      <c r="G157" s="384">
        <v>70.241758335</v>
      </c>
      <c r="H157" s="405">
        <v>2563364.6363945175</v>
      </c>
      <c r="I157" s="386">
        <v>-4802670.9606611133</v>
      </c>
      <c r="J157" s="387">
        <v>26970136.580024689</v>
      </c>
      <c r="K157" s="432">
        <v>61.91830796134208</v>
      </c>
    </row>
    <row r="158" spans="1:15" hidden="1" x14ac:dyDescent="0.25">
      <c r="A158" s="431">
        <f t="shared" si="14"/>
        <v>42284</v>
      </c>
      <c r="B158" s="399">
        <v>452392.31310975133</v>
      </c>
      <c r="C158" s="382">
        <v>16816.189213356178</v>
      </c>
      <c r="D158" s="383">
        <v>-92917.621035504271</v>
      </c>
      <c r="E158" s="442">
        <v>1.9191737250000001</v>
      </c>
      <c r="F158" s="377">
        <v>36.6</v>
      </c>
      <c r="G158" s="384">
        <v>70.241758335</v>
      </c>
      <c r="H158" s="405">
        <v>1181198.6988401983</v>
      </c>
      <c r="I158" s="386">
        <v>-3621472.2618209152</v>
      </c>
      <c r="J158" s="387">
        <v>28151335.278864887</v>
      </c>
      <c r="K158" s="432">
        <v>62.227704722372934</v>
      </c>
    </row>
    <row r="159" spans="1:15" hidden="1" x14ac:dyDescent="0.25">
      <c r="A159" s="431">
        <f t="shared" si="14"/>
        <v>42315</v>
      </c>
      <c r="B159" s="399">
        <v>502337.4905727217</v>
      </c>
      <c r="C159" s="382">
        <v>49945.177462970372</v>
      </c>
      <c r="D159" s="383">
        <v>-42972.443572533899</v>
      </c>
      <c r="E159" s="442">
        <v>1.9191737250000001</v>
      </c>
      <c r="F159" s="377">
        <v>36.6</v>
      </c>
      <c r="G159" s="384">
        <v>70.241758335</v>
      </c>
      <c r="H159" s="405">
        <v>3508237.0853526532</v>
      </c>
      <c r="I159" s="386">
        <v>-113235.17646826198</v>
      </c>
      <c r="J159" s="387">
        <v>31659572.364217538</v>
      </c>
      <c r="K159" s="432">
        <v>63.024506349550052</v>
      </c>
    </row>
    <row r="160" spans="1:15" ht="13.8" hidden="1" thickBot="1" x14ac:dyDescent="0.3">
      <c r="A160" s="433">
        <f t="shared" si="14"/>
        <v>42346</v>
      </c>
      <c r="B160" s="389">
        <v>549621</v>
      </c>
      <c r="C160" s="390">
        <v>47283.509427278303</v>
      </c>
      <c r="D160" s="391">
        <v>4311.0658547444036</v>
      </c>
      <c r="E160" s="426">
        <v>1.9191737250000001</v>
      </c>
      <c r="F160" s="393">
        <v>36.6</v>
      </c>
      <c r="G160" s="394">
        <v>70.241758335</v>
      </c>
      <c r="H160" s="419">
        <v>3321276.8424215768</v>
      </c>
      <c r="I160" s="396">
        <v>3208041.6659533149</v>
      </c>
      <c r="J160" s="398">
        <v>34980849.206639118</v>
      </c>
      <c r="K160" s="434">
        <v>63.645401479636185</v>
      </c>
      <c r="O160" s="423"/>
    </row>
    <row r="161" spans="1:15" hidden="1" x14ac:dyDescent="0.25">
      <c r="A161" s="352"/>
      <c r="B161" s="435"/>
      <c r="C161" s="436"/>
      <c r="D161" s="436"/>
      <c r="E161" s="437"/>
      <c r="G161" s="438"/>
      <c r="H161" s="439"/>
      <c r="I161" s="440"/>
      <c r="J161" s="425"/>
      <c r="K161" s="425"/>
      <c r="O161" s="423"/>
    </row>
    <row r="162" spans="1:15" hidden="1" x14ac:dyDescent="0.25">
      <c r="A162" s="352"/>
      <c r="B162" s="435"/>
      <c r="C162" s="436"/>
      <c r="D162" s="436"/>
      <c r="E162" s="437"/>
      <c r="G162" s="438"/>
      <c r="H162" s="439"/>
      <c r="I162" s="440"/>
      <c r="J162" s="425"/>
      <c r="K162" s="425"/>
      <c r="O162" s="423"/>
    </row>
    <row r="163" spans="1:15" hidden="1" x14ac:dyDescent="0.25">
      <c r="A163" s="427">
        <v>42370</v>
      </c>
      <c r="B163" s="407">
        <v>657358.93864147202</v>
      </c>
      <c r="C163" s="408">
        <v>107737.93864147202</v>
      </c>
      <c r="D163" s="409">
        <v>107737.93864147202</v>
      </c>
      <c r="E163" s="428">
        <v>1.9181047849999999</v>
      </c>
      <c r="F163" s="410">
        <v>43.54</v>
      </c>
      <c r="G163" s="411">
        <v>83.514282338899989</v>
      </c>
      <c r="H163" s="429">
        <v>8997656.6300000008</v>
      </c>
      <c r="I163" s="413">
        <v>8997656.6300000008</v>
      </c>
      <c r="J163" s="414">
        <v>43978505.836639121</v>
      </c>
      <c r="K163" s="430">
        <v>66.901814596949279</v>
      </c>
    </row>
    <row r="164" spans="1:15" hidden="1" x14ac:dyDescent="0.25">
      <c r="A164" s="431">
        <f>A163+31</f>
        <v>42401</v>
      </c>
      <c r="B164" s="443">
        <v>689152.21843657398</v>
      </c>
      <c r="C164" s="382">
        <v>31793.27979510196</v>
      </c>
      <c r="D164" s="383">
        <v>139531.21843657398</v>
      </c>
      <c r="E164" s="442">
        <v>1.9181047849999999</v>
      </c>
      <c r="F164" s="377">
        <v>43.54</v>
      </c>
      <c r="G164" s="384">
        <v>83.514282338899989</v>
      </c>
      <c r="H164" s="405">
        <v>2655192.9452877897</v>
      </c>
      <c r="I164" s="386">
        <v>11652849.575287791</v>
      </c>
      <c r="J164" s="387">
        <v>46633698.781926908</v>
      </c>
      <c r="K164" s="432">
        <v>67.668212528896959</v>
      </c>
    </row>
    <row r="165" spans="1:15" hidden="1" x14ac:dyDescent="0.25">
      <c r="A165" s="431">
        <f t="shared" ref="A165:A174" si="15">A164+31</f>
        <v>42432</v>
      </c>
      <c r="B165" s="443">
        <v>682031.37663649581</v>
      </c>
      <c r="C165" s="382">
        <v>-7120.8418000781676</v>
      </c>
      <c r="D165" s="383">
        <v>132410.37663649581</v>
      </c>
      <c r="E165" s="442">
        <v>1.9181047849999999</v>
      </c>
      <c r="F165" s="377">
        <v>43.54</v>
      </c>
      <c r="G165" s="384">
        <v>67.668212528896959</v>
      </c>
      <c r="H165" s="405">
        <v>-481854.63631234266</v>
      </c>
      <c r="I165" s="386">
        <v>11170994.938975448</v>
      </c>
      <c r="J165" s="387">
        <v>46151844.145614564</v>
      </c>
      <c r="K165" s="432">
        <v>67.668212528896959</v>
      </c>
      <c r="N165" s="425"/>
    </row>
    <row r="166" spans="1:15" hidden="1" x14ac:dyDescent="0.25">
      <c r="A166" s="431">
        <f t="shared" si="15"/>
        <v>42463</v>
      </c>
      <c r="B166" s="399">
        <v>706150.25359721924</v>
      </c>
      <c r="C166" s="382">
        <v>24118.876960723428</v>
      </c>
      <c r="D166" s="383">
        <v>156529.25359721924</v>
      </c>
      <c r="E166" s="442">
        <v>1.9181047849999999</v>
      </c>
      <c r="F166" s="377">
        <v>43.54</v>
      </c>
      <c r="G166" s="384">
        <v>83.514282338899989</v>
      </c>
      <c r="H166" s="405">
        <v>2014270.7001950464</v>
      </c>
      <c r="I166" s="386">
        <v>13185265.639170494</v>
      </c>
      <c r="J166" s="387">
        <v>48166114.845809609</v>
      </c>
      <c r="K166" s="432">
        <v>68.20944211298557</v>
      </c>
      <c r="M166" s="338"/>
    </row>
    <row r="167" spans="1:15" hidden="1" x14ac:dyDescent="0.25">
      <c r="A167" s="431">
        <f t="shared" si="15"/>
        <v>42494</v>
      </c>
      <c r="B167" s="399">
        <v>714347.04461481236</v>
      </c>
      <c r="C167" s="382">
        <v>8196.7910175931174</v>
      </c>
      <c r="D167" s="383">
        <v>164726.04461481236</v>
      </c>
      <c r="E167" s="442">
        <v>1.9181047849999999</v>
      </c>
      <c r="F167" s="377">
        <v>43.54</v>
      </c>
      <c r="G167" s="384">
        <v>83.514282338899989</v>
      </c>
      <c r="H167" s="405">
        <v>684549.11931623099</v>
      </c>
      <c r="I167" s="386">
        <v>13869814.758486725</v>
      </c>
      <c r="J167" s="387">
        <v>48850663.965125836</v>
      </c>
      <c r="K167" s="432">
        <v>68.385057841832207</v>
      </c>
      <c r="N167" s="425"/>
    </row>
    <row r="168" spans="1:15" hidden="1" x14ac:dyDescent="0.25">
      <c r="A168" s="431">
        <f t="shared" si="15"/>
        <v>42525</v>
      </c>
      <c r="B168" s="399">
        <v>595833.90982288704</v>
      </c>
      <c r="C168" s="382">
        <v>-118513.13479192532</v>
      </c>
      <c r="D168" s="383">
        <v>46212.909822887043</v>
      </c>
      <c r="E168" s="442">
        <v>1.9181047849999999</v>
      </c>
      <c r="F168" s="377">
        <v>43.54</v>
      </c>
      <c r="G168" s="384">
        <v>68.385057841832207</v>
      </c>
      <c r="H168" s="405">
        <v>-8104527.5777626699</v>
      </c>
      <c r="I168" s="386">
        <v>5765287.1807240555</v>
      </c>
      <c r="J168" s="387">
        <v>40746136.387363166</v>
      </c>
      <c r="K168" s="432">
        <v>68.385057841832207</v>
      </c>
    </row>
    <row r="169" spans="1:15" hidden="1" x14ac:dyDescent="0.25">
      <c r="A169" s="431">
        <f t="shared" si="15"/>
        <v>42556</v>
      </c>
      <c r="B169" s="399">
        <v>470669.69611960626</v>
      </c>
      <c r="C169" s="382">
        <v>-125164.21370328078</v>
      </c>
      <c r="D169" s="383">
        <v>-78951.303880393738</v>
      </c>
      <c r="E169" s="442">
        <v>1.9181047849999999</v>
      </c>
      <c r="F169" s="377">
        <v>43.54</v>
      </c>
      <c r="G169" s="384">
        <v>68.385057841832207</v>
      </c>
      <c r="H169" s="405">
        <v>-8559361.9938263036</v>
      </c>
      <c r="I169" s="386">
        <v>-2794074.8131022481</v>
      </c>
      <c r="J169" s="387">
        <v>32186774.393536862</v>
      </c>
      <c r="K169" s="432">
        <v>68.385057841832207</v>
      </c>
    </row>
    <row r="170" spans="1:15" hidden="1" x14ac:dyDescent="0.25">
      <c r="A170" s="431">
        <f>A169+31</f>
        <v>42587</v>
      </c>
      <c r="B170" s="399">
        <v>380131.91244338953</v>
      </c>
      <c r="C170" s="382">
        <v>-90537.783676216728</v>
      </c>
      <c r="D170" s="383">
        <v>-169489.08755661047</v>
      </c>
      <c r="E170" s="442">
        <v>1.9181047849999999</v>
      </c>
      <c r="F170" s="377">
        <v>43.54</v>
      </c>
      <c r="G170" s="384">
        <v>68.385057841832207</v>
      </c>
      <c r="H170" s="405">
        <v>-6191431.5735693732</v>
      </c>
      <c r="I170" s="386">
        <v>-8985506.3866716214</v>
      </c>
      <c r="J170" s="387">
        <v>25995342.81996749</v>
      </c>
      <c r="K170" s="432">
        <v>68.385057841832207</v>
      </c>
    </row>
    <row r="171" spans="1:15" hidden="1" x14ac:dyDescent="0.25">
      <c r="A171" s="431">
        <f t="shared" si="15"/>
        <v>42618</v>
      </c>
      <c r="B171" s="399">
        <v>375621.8082538608</v>
      </c>
      <c r="C171" s="382">
        <v>-4510.1041895287344</v>
      </c>
      <c r="D171" s="383">
        <v>-173999.1917461392</v>
      </c>
      <c r="E171" s="442">
        <v>1.9181047849999999</v>
      </c>
      <c r="F171" s="377">
        <v>43.54</v>
      </c>
      <c r="G171" s="384">
        <v>68.385057841832207</v>
      </c>
      <c r="H171" s="405">
        <v>-308423.73587361228</v>
      </c>
      <c r="I171" s="386">
        <v>-9293930.122545233</v>
      </c>
      <c r="J171" s="387">
        <v>25686919.084093876</v>
      </c>
      <c r="K171" s="432">
        <v>68.385057841832207</v>
      </c>
    </row>
    <row r="172" spans="1:15" hidden="1" x14ac:dyDescent="0.25">
      <c r="A172" s="431">
        <f t="shared" si="15"/>
        <v>42649</v>
      </c>
      <c r="B172" s="399">
        <v>414254.24643871823</v>
      </c>
      <c r="C172" s="382">
        <v>38632.438184857427</v>
      </c>
      <c r="D172" s="383">
        <v>-135366.75356128177</v>
      </c>
      <c r="E172" s="442">
        <v>1.9181047849999999</v>
      </c>
      <c r="F172" s="377">
        <v>43.54</v>
      </c>
      <c r="G172" s="384">
        <v>83.514282338899989</v>
      </c>
      <c r="H172" s="405">
        <v>3226360.3500102842</v>
      </c>
      <c r="I172" s="386">
        <v>-6067569.7725349488</v>
      </c>
      <c r="J172" s="387">
        <v>28913279.434104159</v>
      </c>
      <c r="K172" s="432">
        <v>69.795975980131274</v>
      </c>
    </row>
    <row r="173" spans="1:15" hidden="1" x14ac:dyDescent="0.25">
      <c r="A173" s="431">
        <f t="shared" si="15"/>
        <v>42680</v>
      </c>
      <c r="B173" s="399">
        <v>491323.4287160291</v>
      </c>
      <c r="C173" s="382">
        <v>77069.182277310872</v>
      </c>
      <c r="D173" s="383">
        <v>-58297.571283970901</v>
      </c>
      <c r="E173" s="442">
        <v>1.9181047849999999</v>
      </c>
      <c r="F173" s="377">
        <v>43.54</v>
      </c>
      <c r="G173" s="384">
        <v>83.514282338899989</v>
      </c>
      <c r="H173" s="405">
        <v>6436377.4483354874</v>
      </c>
      <c r="I173" s="386">
        <v>368807.67580053862</v>
      </c>
      <c r="J173" s="387">
        <v>35349656.882439643</v>
      </c>
      <c r="K173" s="432">
        <v>71.94783479961167</v>
      </c>
    </row>
    <row r="174" spans="1:15" ht="13.8" hidden="1" thickBot="1" x14ac:dyDescent="0.3">
      <c r="A174" s="433">
        <f t="shared" si="15"/>
        <v>42711</v>
      </c>
      <c r="B174" s="444">
        <v>545059.74174638675</v>
      </c>
      <c r="C174" s="445">
        <v>53736.313030357647</v>
      </c>
      <c r="D174" s="445">
        <v>-4561.2582536132541</v>
      </c>
      <c r="E174" s="446">
        <v>1.9181047849999999</v>
      </c>
      <c r="F174" s="393">
        <v>43.54</v>
      </c>
      <c r="G174" s="447">
        <v>83.514282338899989</v>
      </c>
      <c r="H174" s="448">
        <v>4487749.618268799</v>
      </c>
      <c r="I174" s="449">
        <v>4856557.2940693377</v>
      </c>
      <c r="J174" s="450">
        <v>39837406.500708446</v>
      </c>
      <c r="K174" s="451">
        <v>73.088146948934948</v>
      </c>
      <c r="O174" s="423"/>
    </row>
    <row r="175" spans="1:15" hidden="1" x14ac:dyDescent="0.25">
      <c r="A175" s="352"/>
      <c r="B175" s="435"/>
      <c r="C175" s="436"/>
      <c r="D175" s="436"/>
      <c r="E175" s="437"/>
      <c r="G175" s="438"/>
      <c r="H175" s="439"/>
      <c r="I175" s="440"/>
      <c r="J175" s="425"/>
      <c r="K175" s="425"/>
      <c r="O175" s="423"/>
    </row>
    <row r="176" spans="1:15" hidden="1" x14ac:dyDescent="0.25">
      <c r="A176" s="427">
        <v>42736</v>
      </c>
      <c r="B176" s="452">
        <v>624288.669383078</v>
      </c>
      <c r="C176" s="408">
        <v>79228.927636691253</v>
      </c>
      <c r="D176" s="409">
        <v>79228.927636691253</v>
      </c>
      <c r="E176" s="428">
        <v>1.9636811999999999</v>
      </c>
      <c r="F176" s="410">
        <v>31.86</v>
      </c>
      <c r="G176" s="411">
        <v>62.562883031999995</v>
      </c>
      <c r="H176" s="429">
        <v>4956790.13</v>
      </c>
      <c r="I176" s="413">
        <v>4956790.13</v>
      </c>
      <c r="J176" s="414">
        <v>44794196.630708449</v>
      </c>
      <c r="K176" s="430">
        <v>71.752378070507135</v>
      </c>
    </row>
    <row r="177" spans="1:15" hidden="1" x14ac:dyDescent="0.25">
      <c r="A177" s="431">
        <v>42767</v>
      </c>
      <c r="B177" s="443">
        <v>634103.29555361345</v>
      </c>
      <c r="C177" s="382">
        <v>9814.6261705354555</v>
      </c>
      <c r="D177" s="383">
        <v>89043.553807226708</v>
      </c>
      <c r="E177" s="442">
        <v>1.9636811999999999</v>
      </c>
      <c r="F177" s="377">
        <v>31.86</v>
      </c>
      <c r="G177" s="384">
        <v>62.562883031999995</v>
      </c>
      <c r="H177" s="405">
        <v>614031.30911001575</v>
      </c>
      <c r="I177" s="386">
        <v>5570821.4391100155</v>
      </c>
      <c r="J177" s="387">
        <v>45408227.939818464</v>
      </c>
      <c r="K177" s="432">
        <v>71.61014342335838</v>
      </c>
    </row>
    <row r="178" spans="1:15" hidden="1" x14ac:dyDescent="0.25">
      <c r="A178" s="431">
        <v>42798</v>
      </c>
      <c r="B178" s="443">
        <v>653973.10075313761</v>
      </c>
      <c r="C178" s="382">
        <v>19869.805199524155</v>
      </c>
      <c r="D178" s="383">
        <v>108913.35900675086</v>
      </c>
      <c r="E178" s="442">
        <v>1.9636811999999999</v>
      </c>
      <c r="F178" s="377">
        <v>31.86</v>
      </c>
      <c r="G178" s="384">
        <v>62.562883031999995</v>
      </c>
      <c r="H178" s="405">
        <v>1243112.298566455</v>
      </c>
      <c r="I178" s="386">
        <v>6813933.7376764705</v>
      </c>
      <c r="J178" s="387">
        <v>46651340.238384917</v>
      </c>
      <c r="K178" s="432">
        <v>71.335258567454304</v>
      </c>
      <c r="N178" s="425"/>
    </row>
    <row r="179" spans="1:15" hidden="1" x14ac:dyDescent="0.25">
      <c r="A179" s="431">
        <v>42829</v>
      </c>
      <c r="B179" s="399">
        <v>657005.49599975033</v>
      </c>
      <c r="C179" s="382">
        <v>3032.395246612723</v>
      </c>
      <c r="D179" s="383">
        <v>111945.75425336359</v>
      </c>
      <c r="E179" s="442">
        <v>1.9636811999999999</v>
      </c>
      <c r="F179" s="377">
        <v>31.86</v>
      </c>
      <c r="G179" s="384">
        <v>62.562883031999995</v>
      </c>
      <c r="H179" s="405">
        <v>189715.38912062458</v>
      </c>
      <c r="I179" s="386">
        <v>7003649.1267970949</v>
      </c>
      <c r="J179" s="387">
        <v>46841055.627505541</v>
      </c>
      <c r="K179" s="432">
        <v>71.294769850027777</v>
      </c>
      <c r="M179" s="338"/>
    </row>
    <row r="180" spans="1:15" hidden="1" x14ac:dyDescent="0.25">
      <c r="A180" s="431">
        <v>42860</v>
      </c>
      <c r="B180" s="399">
        <v>674528.08978354291</v>
      </c>
      <c r="C180" s="382">
        <v>17522.593783792574</v>
      </c>
      <c r="D180" s="383">
        <v>129468.34803715616</v>
      </c>
      <c r="E180" s="442">
        <v>1.9636811999999999</v>
      </c>
      <c r="F180" s="377">
        <v>31.86</v>
      </c>
      <c r="G180" s="384">
        <v>62.562883031999995</v>
      </c>
      <c r="H180" s="405">
        <v>1096263.9853126651</v>
      </c>
      <c r="I180" s="386">
        <v>8099913.1121097598</v>
      </c>
      <c r="J180" s="387">
        <v>47937319.612818204</v>
      </c>
      <c r="K180" s="432">
        <v>71.067936738114739</v>
      </c>
      <c r="N180" s="425"/>
    </row>
    <row r="181" spans="1:15" hidden="1" x14ac:dyDescent="0.25">
      <c r="A181" s="431">
        <v>42891</v>
      </c>
      <c r="B181" s="399">
        <v>551970.8141990205</v>
      </c>
      <c r="C181" s="382">
        <v>-122557.2755845224</v>
      </c>
      <c r="D181" s="383">
        <v>6911.0724526337581</v>
      </c>
      <c r="E181" s="442">
        <v>1.9636811999999999</v>
      </c>
      <c r="F181" s="377">
        <v>31.86</v>
      </c>
      <c r="G181" s="384">
        <v>71.067936738114739</v>
      </c>
      <c r="H181" s="405">
        <v>-8709892.7080365326</v>
      </c>
      <c r="I181" s="386">
        <v>-609979.5959267728</v>
      </c>
      <c r="J181" s="387">
        <v>39227426.904781669</v>
      </c>
      <c r="K181" s="432">
        <v>71.067936738114724</v>
      </c>
    </row>
    <row r="182" spans="1:15" hidden="1" x14ac:dyDescent="0.25">
      <c r="A182" s="431">
        <v>42922</v>
      </c>
      <c r="B182" s="399">
        <v>447930.50649646134</v>
      </c>
      <c r="C182" s="382">
        <v>-104040.30770255916</v>
      </c>
      <c r="D182" s="383">
        <v>-97129.235249925405</v>
      </c>
      <c r="E182" s="442">
        <v>1.9636811999999999</v>
      </c>
      <c r="F182" s="377">
        <v>31.86</v>
      </c>
      <c r="G182" s="384">
        <v>71.067936738114724</v>
      </c>
      <c r="H182" s="405">
        <v>-7393930.0060194647</v>
      </c>
      <c r="I182" s="386">
        <v>-8003909.6019462375</v>
      </c>
      <c r="J182" s="387">
        <v>31833496.898762204</v>
      </c>
      <c r="K182" s="432">
        <v>71.067936738114724</v>
      </c>
    </row>
    <row r="183" spans="1:15" hidden="1" x14ac:dyDescent="0.25">
      <c r="A183" s="431">
        <v>42953</v>
      </c>
      <c r="B183" s="399">
        <v>349096.28776270943</v>
      </c>
      <c r="C183" s="382">
        <v>-98834.218733751914</v>
      </c>
      <c r="D183" s="383">
        <v>-195963.45398367732</v>
      </c>
      <c r="E183" s="442">
        <v>1.9636811999999999</v>
      </c>
      <c r="F183" s="377">
        <v>31.86</v>
      </c>
      <c r="G183" s="384">
        <v>71.067936738114724</v>
      </c>
      <c r="H183" s="405">
        <v>-7023944.0045312745</v>
      </c>
      <c r="I183" s="386">
        <v>-15027853.606477512</v>
      </c>
      <c r="J183" s="387">
        <v>24809552.894230928</v>
      </c>
      <c r="K183" s="432">
        <v>71.067936738114724</v>
      </c>
    </row>
    <row r="184" spans="1:15" hidden="1" x14ac:dyDescent="0.25">
      <c r="A184" s="431">
        <v>42984</v>
      </c>
      <c r="B184" s="399">
        <v>343366.25306888268</v>
      </c>
      <c r="C184" s="382">
        <v>-5730.0346938267467</v>
      </c>
      <c r="D184" s="383">
        <v>-201693.48867750406</v>
      </c>
      <c r="E184" s="442">
        <v>1.9636811999999999</v>
      </c>
      <c r="F184" s="377">
        <v>31.86</v>
      </c>
      <c r="G184" s="384">
        <v>71.067936738114724</v>
      </c>
      <c r="H184" s="405">
        <v>-407221.74312808178</v>
      </c>
      <c r="I184" s="386">
        <v>-15435075.349605594</v>
      </c>
      <c r="J184" s="387">
        <v>24402331.151102848</v>
      </c>
      <c r="K184" s="432">
        <v>71.067936738114739</v>
      </c>
    </row>
    <row r="185" spans="1:15" hidden="1" x14ac:dyDescent="0.25">
      <c r="A185" s="431">
        <v>43015</v>
      </c>
      <c r="B185" s="399">
        <v>386713.69509327557</v>
      </c>
      <c r="C185" s="382">
        <v>43347.442024392891</v>
      </c>
      <c r="D185" s="383">
        <v>-158346.04665311117</v>
      </c>
      <c r="E185" s="442">
        <v>1.9636811999999999</v>
      </c>
      <c r="F185" s="377">
        <v>31.86</v>
      </c>
      <c r="G185" s="384">
        <v>62.562883031999995</v>
      </c>
      <c r="H185" s="405">
        <v>2711940.9451084933</v>
      </c>
      <c r="I185" s="386">
        <v>-12723134.4044971</v>
      </c>
      <c r="J185" s="387">
        <v>27114272.09621134</v>
      </c>
      <c r="K185" s="432">
        <v>70.114589786305245</v>
      </c>
    </row>
    <row r="186" spans="1:15" hidden="1" x14ac:dyDescent="0.25">
      <c r="A186" s="431">
        <v>43046</v>
      </c>
      <c r="B186" s="399">
        <v>454466.93413974624</v>
      </c>
      <c r="C186" s="382">
        <v>67753.23904647067</v>
      </c>
      <c r="D186" s="383">
        <v>-90592.807606640505</v>
      </c>
      <c r="E186" s="442">
        <v>1.9636811999999999</v>
      </c>
      <c r="F186" s="377">
        <v>31.86</v>
      </c>
      <c r="G186" s="384">
        <v>62.562883031999995</v>
      </c>
      <c r="H186" s="405">
        <v>4238837.9695034791</v>
      </c>
      <c r="I186" s="386">
        <v>-8484296.434993621</v>
      </c>
      <c r="J186" s="387">
        <v>31353110.065714821</v>
      </c>
      <c r="K186" s="432">
        <v>68.988759600437518</v>
      </c>
    </row>
    <row r="187" spans="1:15" ht="13.8" hidden="1" thickBot="1" x14ac:dyDescent="0.3">
      <c r="A187" s="433">
        <v>43077</v>
      </c>
      <c r="B187" s="444">
        <v>523750.78538907948</v>
      </c>
      <c r="C187" s="445">
        <v>69283.851249333238</v>
      </c>
      <c r="D187" s="445">
        <v>-21308.956357307266</v>
      </c>
      <c r="E187" s="426">
        <v>1.9636811999999999</v>
      </c>
      <c r="F187" s="393">
        <v>31.86</v>
      </c>
      <c r="G187" s="447">
        <v>62.562883031999995</v>
      </c>
      <c r="H187" s="448">
        <v>4334597.4817185225</v>
      </c>
      <c r="I187" s="396">
        <v>-4149698.9532750985</v>
      </c>
      <c r="J187" s="398">
        <v>35687707.547433347</v>
      </c>
      <c r="K187" s="434">
        <v>68.13871891556586</v>
      </c>
      <c r="O187" s="423"/>
    </row>
    <row r="188" spans="1:15" ht="13.8" thickBot="1" x14ac:dyDescent="0.3"/>
    <row r="189" spans="1:15" x14ac:dyDescent="0.25">
      <c r="A189" s="427">
        <v>43101</v>
      </c>
      <c r="B189" s="452">
        <v>558454.84420972923</v>
      </c>
      <c r="C189" s="408">
        <v>34704.058820649749</v>
      </c>
      <c r="D189" s="409">
        <v>34704.058820649749</v>
      </c>
      <c r="E189" s="428">
        <v>1.8552714699999999</v>
      </c>
      <c r="F189" s="410">
        <v>27.29</v>
      </c>
      <c r="G189" s="411">
        <v>50.630358416299998</v>
      </c>
      <c r="H189" s="429">
        <v>1757078.94</v>
      </c>
      <c r="I189" s="413">
        <v>1757078.94</v>
      </c>
      <c r="J189" s="414">
        <v>37444786.487433344</v>
      </c>
      <c r="K189" s="430">
        <v>67.050696892819602</v>
      </c>
    </row>
    <row r="190" spans="1:15" x14ac:dyDescent="0.25">
      <c r="A190" s="431">
        <f>A189+31</f>
        <v>43132</v>
      </c>
      <c r="B190" s="443">
        <v>594173.51406948362</v>
      </c>
      <c r="C190" s="382">
        <v>35718.669859754387</v>
      </c>
      <c r="D190" s="383">
        <v>70422.728680404136</v>
      </c>
      <c r="E190" s="442">
        <v>1.8552714699999999</v>
      </c>
      <c r="F190" s="377">
        <v>27.29</v>
      </c>
      <c r="G190" s="384">
        <v>50.630358416299998</v>
      </c>
      <c r="H190" s="405">
        <v>1808449.0571528566</v>
      </c>
      <c r="I190" s="386">
        <v>3565527.9971528566</v>
      </c>
      <c r="J190" s="387">
        <v>39253235.544586204</v>
      </c>
      <c r="K190" s="432">
        <v>66.063590205732169</v>
      </c>
    </row>
    <row r="191" spans="1:15" x14ac:dyDescent="0.25">
      <c r="A191" s="431">
        <f t="shared" ref="A191:A200" si="16">A190+31</f>
        <v>43163</v>
      </c>
      <c r="B191" s="443">
        <v>618722.26938663854</v>
      </c>
      <c r="C191" s="382">
        <v>24548.755317154923</v>
      </c>
      <c r="D191" s="383">
        <v>94971.483997559058</v>
      </c>
      <c r="E191" s="442">
        <v>1.8552714699999999</v>
      </c>
      <c r="F191" s="377">
        <v>27.29</v>
      </c>
      <c r="G191" s="384">
        <v>50.630358416299998</v>
      </c>
      <c r="H191" s="405">
        <v>1242912.2803816041</v>
      </c>
      <c r="I191" s="386">
        <v>4808440.2775344606</v>
      </c>
      <c r="J191" s="387">
        <v>40496147.824967809</v>
      </c>
      <c r="K191" s="432">
        <v>65.451253055935879</v>
      </c>
      <c r="N191" s="425"/>
    </row>
    <row r="192" spans="1:15" x14ac:dyDescent="0.25">
      <c r="A192" s="431">
        <f t="shared" si="16"/>
        <v>43194</v>
      </c>
      <c r="B192" s="399">
        <v>619313.54787043179</v>
      </c>
      <c r="C192" s="382">
        <v>591.27848379325587</v>
      </c>
      <c r="D192" s="383">
        <v>95562.762481352314</v>
      </c>
      <c r="E192" s="442">
        <v>1.8552714699999999</v>
      </c>
      <c r="F192" s="377">
        <v>27.29</v>
      </c>
      <c r="G192" s="384">
        <v>50.630358416299998</v>
      </c>
      <c r="H192" s="405">
        <v>29936.641558298976</v>
      </c>
      <c r="I192" s="386">
        <v>4838376.9190927595</v>
      </c>
      <c r="J192" s="387">
        <v>40526084.466526106</v>
      </c>
      <c r="K192" s="432">
        <v>65.43710307303769</v>
      </c>
      <c r="M192" s="338"/>
    </row>
    <row r="193" spans="1:15" x14ac:dyDescent="0.25">
      <c r="A193" s="431">
        <f t="shared" si="16"/>
        <v>43225</v>
      </c>
      <c r="B193" s="399">
        <v>616149.89929353341</v>
      </c>
      <c r="C193" s="382">
        <v>-3163.6485768983839</v>
      </c>
      <c r="D193" s="383">
        <v>92399.11390445393</v>
      </c>
      <c r="E193" s="442">
        <v>1.8552714699999999</v>
      </c>
      <c r="F193" s="377">
        <v>27.29</v>
      </c>
      <c r="G193" s="384">
        <v>65.43710307303769</v>
      </c>
      <c r="H193" s="405">
        <v>-207019.99801336855</v>
      </c>
      <c r="I193" s="386">
        <v>4631356.9210793907</v>
      </c>
      <c r="J193" s="387">
        <v>40319064.468512736</v>
      </c>
      <c r="K193" s="432">
        <v>65.43710307303769</v>
      </c>
      <c r="N193" s="425"/>
    </row>
    <row r="194" spans="1:15" x14ac:dyDescent="0.25">
      <c r="A194" s="431">
        <f t="shared" si="16"/>
        <v>43256</v>
      </c>
      <c r="B194" s="399">
        <v>505308.21514647437</v>
      </c>
      <c r="C194" s="382">
        <v>-110841.68414705904</v>
      </c>
      <c r="D194" s="383">
        <v>-18442.570242605114</v>
      </c>
      <c r="E194" s="442">
        <v>1.8552714699999999</v>
      </c>
      <c r="F194" s="377">
        <v>27.29</v>
      </c>
      <c r="G194" s="384">
        <v>65.43710307303769</v>
      </c>
      <c r="H194" s="405">
        <v>-7253158.7103201905</v>
      </c>
      <c r="I194" s="386">
        <v>-2621801.7892407998</v>
      </c>
      <c r="J194" s="387">
        <v>33065905.758192547</v>
      </c>
      <c r="K194" s="432">
        <v>65.43710307303769</v>
      </c>
    </row>
    <row r="195" spans="1:15" x14ac:dyDescent="0.25">
      <c r="A195" s="431">
        <f t="shared" si="16"/>
        <v>43287</v>
      </c>
      <c r="B195" s="399">
        <v>385799.4735431411</v>
      </c>
      <c r="C195" s="382">
        <v>-119508.74160333327</v>
      </c>
      <c r="D195" s="383">
        <v>-137951.31184593838</v>
      </c>
      <c r="E195" s="442">
        <v>1.8552714699999999</v>
      </c>
      <c r="F195" s="377">
        <v>27.29</v>
      </c>
      <c r="G195" s="384">
        <v>65.43710307303769</v>
      </c>
      <c r="H195" s="405">
        <v>-7820305.8424263466</v>
      </c>
      <c r="I195" s="386">
        <v>-10442107.631667146</v>
      </c>
      <c r="J195" s="387">
        <v>25245599.915766202</v>
      </c>
      <c r="K195" s="432">
        <v>65.43710307303769</v>
      </c>
    </row>
    <row r="196" spans="1:15" x14ac:dyDescent="0.25">
      <c r="A196" s="431">
        <f>A195+31</f>
        <v>43318</v>
      </c>
      <c r="B196" s="399">
        <v>222588.38180052853</v>
      </c>
      <c r="C196" s="382">
        <v>-163211.09174261257</v>
      </c>
      <c r="D196" s="383">
        <v>-301162.40358855098</v>
      </c>
      <c r="E196" s="442">
        <v>1.8552714699999999</v>
      </c>
      <c r="F196" s="377">
        <v>27.29</v>
      </c>
      <c r="G196" s="384">
        <v>65.43710307303769</v>
      </c>
      <c r="H196" s="405">
        <v>-10680061.033024348</v>
      </c>
      <c r="I196" s="386">
        <v>-21122168.664691493</v>
      </c>
      <c r="J196" s="387">
        <v>14565538.882741854</v>
      </c>
      <c r="K196" s="432">
        <v>65.43710307303769</v>
      </c>
    </row>
    <row r="197" spans="1:15" x14ac:dyDescent="0.25">
      <c r="A197" s="431">
        <f t="shared" si="16"/>
        <v>43349</v>
      </c>
      <c r="B197" s="399">
        <v>230656.25117692939</v>
      </c>
      <c r="C197" s="382">
        <v>8067.869376400864</v>
      </c>
      <c r="D197" s="383">
        <v>-293094.53421215015</v>
      </c>
      <c r="E197" s="442">
        <v>1.8552714699999999</v>
      </c>
      <c r="F197" s="377">
        <v>27.29</v>
      </c>
      <c r="G197" s="384">
        <v>50.630358416299998</v>
      </c>
      <c r="H197" s="405">
        <v>408479.11818306649</v>
      </c>
      <c r="I197" s="386">
        <v>-20713689.546508428</v>
      </c>
      <c r="J197" s="387">
        <v>14974018.000924921</v>
      </c>
      <c r="K197" s="432">
        <v>64.919194361824637</v>
      </c>
    </row>
    <row r="198" spans="1:15" x14ac:dyDescent="0.25">
      <c r="A198" s="431">
        <f t="shared" si="16"/>
        <v>43380</v>
      </c>
      <c r="B198" s="399">
        <v>325149.12474929797</v>
      </c>
      <c r="C198" s="382">
        <v>94492.873572368582</v>
      </c>
      <c r="D198" s="383">
        <v>-198601.66063978156</v>
      </c>
      <c r="E198" s="442">
        <v>1.8552714699999999</v>
      </c>
      <c r="F198" s="377">
        <v>27.29</v>
      </c>
      <c r="G198" s="384">
        <v>50.630358416299998</v>
      </c>
      <c r="H198" s="405">
        <v>4784208.0567551432</v>
      </c>
      <c r="I198" s="386">
        <v>-15929481.489753284</v>
      </c>
      <c r="J198" s="387">
        <v>19758226.057680063</v>
      </c>
      <c r="K198" s="432">
        <v>60.766659214950643</v>
      </c>
    </row>
    <row r="199" spans="1:15" x14ac:dyDescent="0.25">
      <c r="A199" s="431">
        <f t="shared" si="16"/>
        <v>43411</v>
      </c>
      <c r="B199" s="399">
        <v>408112.88215158647</v>
      </c>
      <c r="C199" s="382">
        <v>82963.757402288495</v>
      </c>
      <c r="D199" s="383">
        <v>-115637.90323749307</v>
      </c>
      <c r="E199" s="442">
        <v>1.8552714699999999</v>
      </c>
      <c r="F199" s="377">
        <v>27.29</v>
      </c>
      <c r="G199" s="384">
        <v>50.630358416299998</v>
      </c>
      <c r="H199" s="405">
        <v>4200484.7728408286</v>
      </c>
      <c r="I199" s="386">
        <v>-11728996.716912456</v>
      </c>
      <c r="J199" s="387">
        <v>23958710.830520891</v>
      </c>
      <c r="K199" s="432">
        <v>58.706088139657993</v>
      </c>
    </row>
    <row r="200" spans="1:15" ht="13.8" thickBot="1" x14ac:dyDescent="0.3">
      <c r="A200" s="433">
        <f t="shared" si="16"/>
        <v>43442</v>
      </c>
      <c r="B200" s="444">
        <v>487253.83308525127</v>
      </c>
      <c r="C200" s="445">
        <v>79140.950933664804</v>
      </c>
      <c r="D200" s="445">
        <v>-36496.952303828264</v>
      </c>
      <c r="E200" s="426">
        <v>1.8552714699999999</v>
      </c>
      <c r="F200" s="393">
        <v>27.29</v>
      </c>
      <c r="G200" s="453">
        <v>50.630358416299998</v>
      </c>
      <c r="H200" s="448">
        <v>4006934.7111782609</v>
      </c>
      <c r="I200" s="396">
        <v>-7722062.005734195</v>
      </c>
      <c r="J200" s="398">
        <v>27965645.541699152</v>
      </c>
      <c r="K200" s="434">
        <v>57.39440850495312</v>
      </c>
      <c r="O200" s="423"/>
    </row>
    <row r="201" spans="1:15" s="458" customFormat="1" ht="13.8" thickBot="1" x14ac:dyDescent="0.3">
      <c r="A201" s="454"/>
      <c r="B201" s="455"/>
      <c r="C201" s="456"/>
      <c r="D201" s="456"/>
      <c r="E201" s="457"/>
      <c r="G201" s="459"/>
      <c r="H201" s="460"/>
      <c r="I201" s="461"/>
      <c r="J201" s="462"/>
      <c r="K201" s="462"/>
      <c r="O201" s="463"/>
    </row>
    <row r="202" spans="1:15" x14ac:dyDescent="0.25">
      <c r="A202" s="427">
        <v>43466</v>
      </c>
      <c r="B202" s="452">
        <v>531307.41094181221</v>
      </c>
      <c r="C202" s="408">
        <v>44053.577856560936</v>
      </c>
      <c r="D202" s="409">
        <v>44053.577856560936</v>
      </c>
      <c r="E202" s="428">
        <v>1.8401211541061231</v>
      </c>
      <c r="F202" s="410">
        <v>31.14</v>
      </c>
      <c r="G202" s="464">
        <v>57.301372738864671</v>
      </c>
      <c r="H202" s="429">
        <v>2524330.4900000002</v>
      </c>
      <c r="I202" s="413">
        <v>2524330.4900000002</v>
      </c>
      <c r="J202" s="414">
        <v>30489976.031699151</v>
      </c>
      <c r="K202" s="430">
        <v>57.386694414165355</v>
      </c>
    </row>
    <row r="203" spans="1:15" x14ac:dyDescent="0.25">
      <c r="A203" s="431">
        <f>A202+31</f>
        <v>43497</v>
      </c>
      <c r="B203" s="443">
        <v>630578.29435584683</v>
      </c>
      <c r="C203" s="382">
        <v>99270.883414034615</v>
      </c>
      <c r="D203" s="383">
        <v>143324.46127059555</v>
      </c>
      <c r="E203" s="442">
        <v>1.8401211541061231</v>
      </c>
      <c r="F203" s="377">
        <v>31.14</v>
      </c>
      <c r="G203" s="465">
        <v>57.301372738864671</v>
      </c>
      <c r="H203" s="405">
        <v>5688357.8926239759</v>
      </c>
      <c r="I203" s="386">
        <v>8212688.3826239761</v>
      </c>
      <c r="J203" s="387">
        <v>36178333.924323127</v>
      </c>
      <c r="K203" s="432">
        <v>57.373262365905404</v>
      </c>
    </row>
    <row r="204" spans="1:15" x14ac:dyDescent="0.25">
      <c r="A204" s="431">
        <f t="shared" ref="A204:A213" si="17">A203+31</f>
        <v>43528</v>
      </c>
      <c r="B204" s="443">
        <v>628742.32766706392</v>
      </c>
      <c r="C204" s="382">
        <v>-1835.966688782908</v>
      </c>
      <c r="D204" s="383">
        <v>141488.49458181264</v>
      </c>
      <c r="E204" s="442">
        <v>1.8401211541061231</v>
      </c>
      <c r="F204" s="377">
        <v>31.14</v>
      </c>
      <c r="G204" s="465">
        <v>57.373262365905404</v>
      </c>
      <c r="H204" s="405">
        <v>-105335.39853060438</v>
      </c>
      <c r="I204" s="386">
        <v>8107352.9840933718</v>
      </c>
      <c r="J204" s="387">
        <v>36072998.525792524</v>
      </c>
      <c r="K204" s="432">
        <v>57.373262365905404</v>
      </c>
      <c r="N204" s="425"/>
    </row>
    <row r="205" spans="1:15" x14ac:dyDescent="0.25">
      <c r="A205" s="431">
        <f t="shared" si="17"/>
        <v>43559</v>
      </c>
      <c r="B205" s="399">
        <v>622867.43154920836</v>
      </c>
      <c r="C205" s="382">
        <v>-5874.8961178555619</v>
      </c>
      <c r="D205" s="383">
        <v>135613.59846395708</v>
      </c>
      <c r="E205" s="442">
        <v>1.8401211541061231</v>
      </c>
      <c r="F205" s="377">
        <v>31.14</v>
      </c>
      <c r="G205" s="465">
        <v>57.373262365905404</v>
      </c>
      <c r="H205" s="405">
        <v>-337061.95634216629</v>
      </c>
      <c r="I205" s="386">
        <v>7770291.0277512055</v>
      </c>
      <c r="J205" s="387">
        <v>35735936.569450356</v>
      </c>
      <c r="K205" s="432">
        <v>57.373262365905404</v>
      </c>
      <c r="M205" s="338"/>
    </row>
    <row r="206" spans="1:15" x14ac:dyDescent="0.25">
      <c r="A206" s="431">
        <f t="shared" si="17"/>
        <v>43590</v>
      </c>
      <c r="B206" s="399">
        <v>622449</v>
      </c>
      <c r="C206" s="382">
        <v>-418.43154920835514</v>
      </c>
      <c r="D206" s="383">
        <v>135195.16691474873</v>
      </c>
      <c r="E206" s="442">
        <v>1.8401211541061231</v>
      </c>
      <c r="F206" s="377">
        <v>31.14</v>
      </c>
      <c r="G206" s="465">
        <v>57.373262365905404</v>
      </c>
      <c r="H206" s="405">
        <v>-24006.783054903219</v>
      </c>
      <c r="I206" s="386">
        <v>7746284.2446963023</v>
      </c>
      <c r="J206" s="387">
        <v>35711929.786395453</v>
      </c>
      <c r="K206" s="432">
        <v>57.373262365905404</v>
      </c>
      <c r="N206" s="425"/>
    </row>
    <row r="207" spans="1:15" x14ac:dyDescent="0.25">
      <c r="A207" s="431">
        <f t="shared" si="17"/>
        <v>43621</v>
      </c>
      <c r="B207" s="399">
        <v>535859.20328498259</v>
      </c>
      <c r="C207" s="382">
        <v>-86589.796715017408</v>
      </c>
      <c r="D207" s="383">
        <v>48605.370199731318</v>
      </c>
      <c r="E207" s="442">
        <v>1.8401211541061231</v>
      </c>
      <c r="F207" s="377">
        <v>31.14</v>
      </c>
      <c r="G207" s="465">
        <v>57.373262365905404</v>
      </c>
      <c r="H207" s="405">
        <v>-4967939.1251411075</v>
      </c>
      <c r="I207" s="386">
        <v>2778345.1195551949</v>
      </c>
      <c r="J207" s="387">
        <v>30743990.661254346</v>
      </c>
      <c r="K207" s="432">
        <v>57.373262365905404</v>
      </c>
    </row>
    <row r="208" spans="1:15" x14ac:dyDescent="0.25">
      <c r="A208" s="431">
        <f t="shared" si="17"/>
        <v>43652</v>
      </c>
      <c r="B208" s="399">
        <v>439225.44038701628</v>
      </c>
      <c r="C208" s="382">
        <v>-96633.762897966313</v>
      </c>
      <c r="D208" s="383">
        <v>-48028.392698234995</v>
      </c>
      <c r="E208" s="442">
        <v>1.8401211541061231</v>
      </c>
      <c r="F208" s="377">
        <v>31.14</v>
      </c>
      <c r="G208" s="465">
        <v>57.373262365905404</v>
      </c>
      <c r="H208" s="405">
        <v>-5544194.2321497165</v>
      </c>
      <c r="I208" s="386">
        <v>-2765849.1125945216</v>
      </c>
      <c r="J208" s="387">
        <v>25199796.42910463</v>
      </c>
      <c r="K208" s="432">
        <v>57.373262365905404</v>
      </c>
    </row>
    <row r="209" spans="1:15" x14ac:dyDescent="0.25">
      <c r="A209" s="431">
        <f>A208+31</f>
        <v>43683</v>
      </c>
      <c r="B209" s="399">
        <v>362139.45075844944</v>
      </c>
      <c r="C209" s="382">
        <v>-77085.989628566836</v>
      </c>
      <c r="D209" s="383">
        <v>-125114.38232680183</v>
      </c>
      <c r="E209" s="442">
        <v>1.8401211541061231</v>
      </c>
      <c r="F209" s="377">
        <v>31.14</v>
      </c>
      <c r="G209" s="465">
        <v>57.373262365905404</v>
      </c>
      <c r="H209" s="405">
        <v>-4422674.707695228</v>
      </c>
      <c r="I209" s="386">
        <v>-7188523.8202897497</v>
      </c>
      <c r="J209" s="387">
        <v>20777121.721409403</v>
      </c>
      <c r="K209" s="432">
        <v>57.373262365905411</v>
      </c>
    </row>
    <row r="210" spans="1:15" x14ac:dyDescent="0.25">
      <c r="A210" s="431">
        <f t="shared" si="17"/>
        <v>43714</v>
      </c>
      <c r="B210" s="399">
        <v>393163.54780742747</v>
      </c>
      <c r="C210" s="382">
        <v>31024.09704897803</v>
      </c>
      <c r="D210" s="383">
        <v>-94090.285277823801</v>
      </c>
      <c r="E210" s="442">
        <v>1.8401211541061231</v>
      </c>
      <c r="F210" s="377">
        <v>31.14</v>
      </c>
      <c r="G210" s="465">
        <v>57.301372738864671</v>
      </c>
      <c r="H210" s="405">
        <v>1777723.3488902017</v>
      </c>
      <c r="I210" s="386">
        <v>-5410800.4713995475</v>
      </c>
      <c r="J210" s="387">
        <v>22554845.070299603</v>
      </c>
      <c r="K210" s="432">
        <v>57.36758963561654</v>
      </c>
    </row>
    <row r="211" spans="1:15" x14ac:dyDescent="0.25">
      <c r="A211" s="431">
        <f t="shared" si="17"/>
        <v>43745</v>
      </c>
      <c r="B211" s="399">
        <v>429829.59622944723</v>
      </c>
      <c r="C211" s="382">
        <v>36666.048422019754</v>
      </c>
      <c r="D211" s="383">
        <v>-57424.236855804047</v>
      </c>
      <c r="E211" s="442">
        <v>1.8401211541061231</v>
      </c>
      <c r="F211" s="377">
        <v>31.14</v>
      </c>
      <c r="G211" s="465">
        <v>57.301372738864671</v>
      </c>
      <c r="H211" s="405">
        <v>2101014.9074914148</v>
      </c>
      <c r="I211" s="386">
        <v>-3309785.5639081327</v>
      </c>
      <c r="J211" s="387">
        <v>24655859.977791019</v>
      </c>
      <c r="K211" s="432">
        <v>57.361941090323342</v>
      </c>
    </row>
    <row r="212" spans="1:15" x14ac:dyDescent="0.25">
      <c r="A212" s="431">
        <f t="shared" si="17"/>
        <v>43776</v>
      </c>
      <c r="B212" s="399">
        <v>531306.38822950143</v>
      </c>
      <c r="C212" s="382">
        <v>101476.79200005421</v>
      </c>
      <c r="D212" s="383">
        <v>44052.55514425016</v>
      </c>
      <c r="E212" s="442">
        <v>1.8401211541061231</v>
      </c>
      <c r="F212" s="377">
        <v>31.14</v>
      </c>
      <c r="G212" s="465">
        <v>57.301372738864671</v>
      </c>
      <c r="H212" s="405">
        <v>5814759.482739347</v>
      </c>
      <c r="I212" s="386">
        <v>2504973.9188312143</v>
      </c>
      <c r="J212" s="387">
        <v>30470619.460530367</v>
      </c>
      <c r="K212" s="432">
        <v>57.350372846201076</v>
      </c>
    </row>
    <row r="213" spans="1:15" ht="13.8" thickBot="1" x14ac:dyDescent="0.3">
      <c r="A213" s="433">
        <f t="shared" si="17"/>
        <v>43807</v>
      </c>
      <c r="B213" s="444">
        <v>557600.4870048007</v>
      </c>
      <c r="C213" s="445">
        <v>26294.098775299266</v>
      </c>
      <c r="D213" s="445">
        <v>70346.653919549426</v>
      </c>
      <c r="E213" s="426">
        <v>1.8401211541061231</v>
      </c>
      <c r="F213" s="393">
        <v>31.14</v>
      </c>
      <c r="G213" s="453">
        <v>57.301372738864671</v>
      </c>
      <c r="H213" s="448">
        <v>1506687.9547559484</v>
      </c>
      <c r="I213" s="396">
        <v>4011661.8735871627</v>
      </c>
      <c r="J213" s="466">
        <v>31977307.415286314</v>
      </c>
      <c r="K213" s="434">
        <v>57.348062206787496</v>
      </c>
      <c r="O213" s="423"/>
    </row>
    <row r="214" spans="1:15" ht="13.8" thickBot="1" x14ac:dyDescent="0.3">
      <c r="A214" s="352"/>
      <c r="B214" s="349"/>
      <c r="C214" s="350"/>
      <c r="D214" s="351"/>
      <c r="E214" s="467"/>
      <c r="G214" s="468"/>
      <c r="H214" s="469"/>
      <c r="I214" s="470"/>
      <c r="J214" s="471"/>
      <c r="K214" s="471"/>
      <c r="O214" s="423"/>
    </row>
    <row r="215" spans="1:15" x14ac:dyDescent="0.25">
      <c r="A215" s="427">
        <v>43831</v>
      </c>
      <c r="B215" s="452">
        <v>576373.81450927653</v>
      </c>
      <c r="C215" s="408">
        <v>18773.327504475834</v>
      </c>
      <c r="D215" s="409">
        <v>18773.327504475834</v>
      </c>
      <c r="E215" s="428">
        <v>1.7922104792301545</v>
      </c>
      <c r="F215" s="410">
        <v>25.19</v>
      </c>
      <c r="G215" s="464">
        <v>45.145781971807594</v>
      </c>
      <c r="H215" s="429">
        <v>847536.55</v>
      </c>
      <c r="I215" s="413">
        <v>847536.55</v>
      </c>
      <c r="J215" s="414">
        <v>32824843.965286314</v>
      </c>
      <c r="K215" s="430">
        <v>56.950616317004823</v>
      </c>
    </row>
    <row r="216" spans="1:15" x14ac:dyDescent="0.25">
      <c r="A216" s="431">
        <v>43862</v>
      </c>
      <c r="B216" s="443">
        <v>579071.24322105281</v>
      </c>
      <c r="C216" s="382">
        <v>2697.4287117762724</v>
      </c>
      <c r="D216" s="383">
        <v>21470.756216252106</v>
      </c>
      <c r="E216" s="442">
        <v>1.7922104792301545</v>
      </c>
      <c r="F216" s="377">
        <v>25.19</v>
      </c>
      <c r="G216" s="465">
        <v>45.145781971807594</v>
      </c>
      <c r="H216" s="405">
        <v>121777.52850634542</v>
      </c>
      <c r="I216" s="386">
        <v>969314.07850634551</v>
      </c>
      <c r="J216" s="387">
        <v>32946621.493792661</v>
      </c>
      <c r="K216" s="432">
        <v>56.895627057093769</v>
      </c>
    </row>
    <row r="217" spans="1:15" x14ac:dyDescent="0.25">
      <c r="A217" s="431">
        <v>43893</v>
      </c>
      <c r="B217" s="443">
        <v>617058</v>
      </c>
      <c r="C217" s="382">
        <v>37986.756778947194</v>
      </c>
      <c r="D217" s="383">
        <v>59457.5129951993</v>
      </c>
      <c r="E217" s="442">
        <v>1.7922104792301545</v>
      </c>
      <c r="F217" s="377">
        <v>25.19</v>
      </c>
      <c r="G217" s="465">
        <v>45.145781971807594</v>
      </c>
      <c r="H217" s="405">
        <v>1714941.8393584341</v>
      </c>
      <c r="I217" s="386">
        <v>2684255.9178647795</v>
      </c>
      <c r="J217" s="387">
        <v>34661563.333151095</v>
      </c>
      <c r="K217" s="432">
        <v>56.172293906166189</v>
      </c>
      <c r="N217" s="425"/>
    </row>
    <row r="218" spans="1:15" x14ac:dyDescent="0.25">
      <c r="A218" s="431">
        <v>43924</v>
      </c>
      <c r="B218" s="399">
        <v>618022.46475156222</v>
      </c>
      <c r="C218" s="382">
        <v>964.46475156222004</v>
      </c>
      <c r="D218" s="383">
        <v>60421.97774676152</v>
      </c>
      <c r="E218" s="442">
        <v>1.7922104792301545</v>
      </c>
      <c r="F218" s="377">
        <v>25.19</v>
      </c>
      <c r="G218" s="465">
        <v>45.145781971807594</v>
      </c>
      <c r="H218" s="405">
        <v>43541.515393521564</v>
      </c>
      <c r="I218" s="386">
        <v>2727797.4332583011</v>
      </c>
      <c r="J218" s="387">
        <v>34705104.848544613</v>
      </c>
      <c r="K218" s="432">
        <v>56.155086308222884</v>
      </c>
      <c r="M218" s="338"/>
    </row>
    <row r="219" spans="1:15" x14ac:dyDescent="0.25">
      <c r="A219" s="431">
        <v>43955</v>
      </c>
      <c r="B219" s="399">
        <v>600801.85723543854</v>
      </c>
      <c r="C219" s="382">
        <v>-17220.60751612368</v>
      </c>
      <c r="D219" s="383">
        <v>43201.37023063784</v>
      </c>
      <c r="E219" s="442">
        <v>1.7922104792301545</v>
      </c>
      <c r="F219" s="377">
        <v>25.19</v>
      </c>
      <c r="G219" s="465">
        <v>56.155086308222884</v>
      </c>
      <c r="H219" s="405">
        <v>-967024.70134795702</v>
      </c>
      <c r="I219" s="386">
        <v>1760772.7319103442</v>
      </c>
      <c r="J219" s="387">
        <v>33738080.147196658</v>
      </c>
      <c r="K219" s="432">
        <v>56.155086308222891</v>
      </c>
      <c r="N219" s="425"/>
    </row>
    <row r="220" spans="1:15" x14ac:dyDescent="0.25">
      <c r="A220" s="431">
        <v>43986</v>
      </c>
      <c r="B220" s="399">
        <v>510376.56370868697</v>
      </c>
      <c r="C220" s="382">
        <v>-90425.293526751571</v>
      </c>
      <c r="D220" s="383">
        <v>-47223.923296113731</v>
      </c>
      <c r="E220" s="442">
        <v>1.7922104792301545</v>
      </c>
      <c r="F220" s="377">
        <v>25.19</v>
      </c>
      <c r="G220" s="465">
        <v>56.155086308222891</v>
      </c>
      <c r="H220" s="405">
        <v>-5077840.1624411233</v>
      </c>
      <c r="I220" s="386">
        <v>-3317067.4305307791</v>
      </c>
      <c r="J220" s="387">
        <v>28660239.984755535</v>
      </c>
      <c r="K220" s="432">
        <v>56.155086308222891</v>
      </c>
    </row>
    <row r="221" spans="1:15" x14ac:dyDescent="0.25">
      <c r="A221" s="431">
        <v>44017</v>
      </c>
      <c r="B221" s="399">
        <v>394644</v>
      </c>
      <c r="C221" s="382">
        <v>-115732.56370868697</v>
      </c>
      <c r="D221" s="383">
        <v>-162956.4870048007</v>
      </c>
      <c r="E221" s="442">
        <v>1.7922104792301545</v>
      </c>
      <c r="F221" s="377">
        <v>25.19</v>
      </c>
      <c r="G221" s="465">
        <v>56.155086308222891</v>
      </c>
      <c r="H221" s="405">
        <v>-6498972.1037332211</v>
      </c>
      <c r="I221" s="386">
        <v>-9816039.5342640001</v>
      </c>
      <c r="J221" s="387">
        <v>22161267.881022312</v>
      </c>
      <c r="K221" s="432">
        <v>56.155086308222884</v>
      </c>
    </row>
    <row r="222" spans="1:15" x14ac:dyDescent="0.25">
      <c r="A222" s="431">
        <v>44048</v>
      </c>
      <c r="B222" s="399">
        <v>271510.65674802876</v>
      </c>
      <c r="C222" s="382">
        <v>-123133.34325197124</v>
      </c>
      <c r="D222" s="383">
        <v>-286089.83025677194</v>
      </c>
      <c r="E222" s="442">
        <v>1.7922104792301545</v>
      </c>
      <c r="F222" s="377">
        <v>25.19</v>
      </c>
      <c r="G222" s="465">
        <v>56.155086308222884</v>
      </c>
      <c r="H222" s="405">
        <v>-6914563.5177344792</v>
      </c>
      <c r="I222" s="386">
        <v>-16730603.051998479</v>
      </c>
      <c r="J222" s="387">
        <v>15246704.363287833</v>
      </c>
      <c r="K222" s="432">
        <v>56.155086308222884</v>
      </c>
    </row>
    <row r="223" spans="1:15" x14ac:dyDescent="0.25">
      <c r="A223" s="431">
        <v>44079</v>
      </c>
      <c r="B223" s="399">
        <v>300715.86267402605</v>
      </c>
      <c r="C223" s="382">
        <v>29205.205925997288</v>
      </c>
      <c r="D223" s="383">
        <v>-256884.62433077465</v>
      </c>
      <c r="E223" s="442">
        <v>1.7922104792301545</v>
      </c>
      <c r="F223" s="377">
        <v>25.19</v>
      </c>
      <c r="G223" s="465">
        <v>45.145781971807594</v>
      </c>
      <c r="H223" s="405">
        <v>1318491.8591768167</v>
      </c>
      <c r="I223" s="386">
        <v>-15412111.192821663</v>
      </c>
      <c r="J223" s="387">
        <v>16565196.222464649</v>
      </c>
      <c r="K223" s="432">
        <v>55.085874337201858</v>
      </c>
    </row>
    <row r="224" spans="1:15" x14ac:dyDescent="0.25">
      <c r="A224" s="431">
        <v>44110</v>
      </c>
      <c r="B224" s="399">
        <v>363403.3486141999</v>
      </c>
      <c r="C224" s="382">
        <v>62687.48594017385</v>
      </c>
      <c r="D224" s="383">
        <v>-194197.1383906008</v>
      </c>
      <c r="E224" s="442">
        <v>1.7922104792301545</v>
      </c>
      <c r="F224" s="377">
        <v>25.19</v>
      </c>
      <c r="G224" s="465">
        <v>45.145781971807594</v>
      </c>
      <c r="H224" s="405">
        <v>2830075.5726158428</v>
      </c>
      <c r="I224" s="386">
        <v>-12582035.62020582</v>
      </c>
      <c r="J224" s="387">
        <v>19395271.79508049</v>
      </c>
      <c r="K224" s="432">
        <v>53.371197235915133</v>
      </c>
    </row>
    <row r="225" spans="1:15" x14ac:dyDescent="0.25">
      <c r="A225" s="431">
        <v>44141</v>
      </c>
      <c r="B225" s="399">
        <v>424505.38234698423</v>
      </c>
      <c r="C225" s="382">
        <v>61102.03373278433</v>
      </c>
      <c r="D225" s="383">
        <v>-133095.10465781647</v>
      </c>
      <c r="E225" s="442">
        <v>1.7922104792301545</v>
      </c>
      <c r="F225" s="377">
        <v>25.19</v>
      </c>
      <c r="G225" s="465">
        <v>45.145781971807594</v>
      </c>
      <c r="H225" s="405">
        <v>2758499.0929343142</v>
      </c>
      <c r="I225" s="386">
        <v>-9823536.5272715054</v>
      </c>
      <c r="J225" s="387">
        <v>22153770.888014805</v>
      </c>
      <c r="K225" s="432">
        <v>52.187255590334658</v>
      </c>
    </row>
    <row r="226" spans="1:15" ht="13.8" thickBot="1" x14ac:dyDescent="0.3">
      <c r="A226" s="433">
        <v>44172</v>
      </c>
      <c r="B226" s="444">
        <f>'Lake Pleasant Forecast'!R57</f>
        <v>473060.41427426698</v>
      </c>
      <c r="C226" s="445">
        <v>77715.654169903486</v>
      </c>
      <c r="D226" s="445">
        <v>-55379.450487912982</v>
      </c>
      <c r="E226" s="426">
        <v>1.7922104792301545</v>
      </c>
      <c r="F226" s="393">
        <v>25.19</v>
      </c>
      <c r="G226" s="453">
        <v>45.145781971807594</v>
      </c>
      <c r="H226" s="448">
        <v>3508533.9789508623</v>
      </c>
      <c r="I226" s="396">
        <v>-6315002.5483206436</v>
      </c>
      <c r="J226" s="466">
        <v>25662304.866965666</v>
      </c>
      <c r="K226" s="434">
        <v>51.097630328160783</v>
      </c>
      <c r="O226" s="423"/>
    </row>
    <row r="227" spans="1:15" ht="13.8" thickBot="1" x14ac:dyDescent="0.3">
      <c r="A227" s="352"/>
      <c r="B227" s="435"/>
      <c r="C227" s="436"/>
      <c r="D227" s="436"/>
      <c r="E227" s="467"/>
      <c r="G227" s="472"/>
      <c r="H227" s="439"/>
      <c r="I227" s="470"/>
      <c r="J227" s="462"/>
      <c r="K227" s="471"/>
      <c r="O227" s="423"/>
    </row>
    <row r="228" spans="1:15" x14ac:dyDescent="0.25">
      <c r="A228" s="427">
        <v>44197</v>
      </c>
      <c r="B228" s="452">
        <v>573112.88949152408</v>
      </c>
      <c r="C228" s="408">
        <f>B228-B226</f>
        <v>100052.4752172571</v>
      </c>
      <c r="D228" s="409">
        <f>+C228</f>
        <v>100052.4752172571</v>
      </c>
      <c r="E228" s="428">
        <v>1.7922104792301545</v>
      </c>
      <c r="F228" s="410">
        <v>28.34</v>
      </c>
      <c r="G228" s="464">
        <f>E228*F228</f>
        <v>50.791244981382576</v>
      </c>
      <c r="H228" s="429">
        <f>ROUND(C228*G228,2)</f>
        <v>5081789.78</v>
      </c>
      <c r="I228" s="413">
        <f>+H228</f>
        <v>5081789.78</v>
      </c>
      <c r="J228" s="414">
        <f>J226+H228</f>
        <v>30744094.646965668</v>
      </c>
      <c r="K228" s="430">
        <f t="shared" ref="K228:K239" si="18">IF(J228="",0,J228/+B228)</f>
        <v>53.644046767544125</v>
      </c>
    </row>
    <row r="229" spans="1:15" x14ac:dyDescent="0.25">
      <c r="A229" s="431">
        <f>A228+31</f>
        <v>44228</v>
      </c>
      <c r="B229" s="443">
        <v>607321.66315280413</v>
      </c>
      <c r="C229" s="382">
        <f>IF(B229=0,0,B229-B228)</f>
        <v>34208.773661280051</v>
      </c>
      <c r="D229" s="383">
        <f>+C229+D228</f>
        <v>134261.24887853715</v>
      </c>
      <c r="E229" s="442">
        <v>1.7922104792301545</v>
      </c>
      <c r="F229" s="377">
        <v>28.34</v>
      </c>
      <c r="G229" s="465">
        <f>IF(C229&lt;0,K228,E229*F229)</f>
        <v>50.791244981382576</v>
      </c>
      <c r="H229" s="405">
        <f t="shared" ref="H229:H230" si="19">+C229*G229</f>
        <v>1737506.2035427429</v>
      </c>
      <c r="I229" s="386">
        <f>IF(H229=0,"",I228+H229)</f>
        <v>6819295.9835427431</v>
      </c>
      <c r="J229" s="387">
        <f>IF(H229=0,"",J228+H229)</f>
        <v>32481600.85050841</v>
      </c>
      <c r="K229" s="432">
        <f t="shared" si="18"/>
        <v>53.483356219973885</v>
      </c>
    </row>
    <row r="230" spans="1:15" x14ac:dyDescent="0.25">
      <c r="A230" s="431">
        <f t="shared" ref="A230:A239" si="20">A229+31</f>
        <v>44259</v>
      </c>
      <c r="B230" s="443">
        <v>640964.70067428332</v>
      </c>
      <c r="C230" s="382">
        <f t="shared" ref="C230:C234" si="21">IF(B230=0,0,B230-B229)</f>
        <v>33643.037521479186</v>
      </c>
      <c r="D230" s="383">
        <f t="shared" ref="D230:D234" si="22">+C230+D229</f>
        <v>167904.28640001634</v>
      </c>
      <c r="E230" s="442">
        <v>1.7922104792301545</v>
      </c>
      <c r="F230" s="377">
        <v>28.34</v>
      </c>
      <c r="G230" s="465">
        <f t="shared" ref="G230:G239" si="23">IF(C230&lt;0,K229,E230*F230)</f>
        <v>50.791244981382576</v>
      </c>
      <c r="H230" s="405">
        <f t="shared" si="19"/>
        <v>1708771.7606712955</v>
      </c>
      <c r="I230" s="386">
        <f>IF(H230=0,"",I229+H230)</f>
        <v>8528067.7442140393</v>
      </c>
      <c r="J230" s="387">
        <f t="shared" ref="J230:J239" si="24">IF(H230=0,"",J229+H230)</f>
        <v>34190372.611179709</v>
      </c>
      <c r="K230" s="432">
        <f t="shared" si="18"/>
        <v>53.34205233956262</v>
      </c>
      <c r="N230" s="425"/>
    </row>
    <row r="231" spans="1:15" x14ac:dyDescent="0.25">
      <c r="A231" s="431">
        <f t="shared" si="20"/>
        <v>44290</v>
      </c>
      <c r="B231" s="399">
        <v>637853</v>
      </c>
      <c r="C231" s="382">
        <f t="shared" si="21"/>
        <v>-3111.7006742833182</v>
      </c>
      <c r="D231" s="383">
        <f t="shared" si="22"/>
        <v>164792.58572573302</v>
      </c>
      <c r="E231" s="442">
        <v>1.7922104792301545</v>
      </c>
      <c r="F231" s="377">
        <v>28.34</v>
      </c>
      <c r="G231" s="465">
        <f t="shared" si="23"/>
        <v>53.34205233956262</v>
      </c>
      <c r="H231" s="405">
        <f>+C231*G231</f>
        <v>-165984.50023267305</v>
      </c>
      <c r="I231" s="386">
        <f t="shared" ref="I231:I239" si="25">IF(H231=0,"",I230+H231)</f>
        <v>8362083.243981366</v>
      </c>
      <c r="J231" s="387">
        <f t="shared" si="24"/>
        <v>34024388.110947035</v>
      </c>
      <c r="K231" s="432">
        <f t="shared" si="18"/>
        <v>53.34205233956262</v>
      </c>
      <c r="M231" s="338"/>
    </row>
    <row r="232" spans="1:15" x14ac:dyDescent="0.25">
      <c r="A232" s="431">
        <f t="shared" si="20"/>
        <v>44321</v>
      </c>
      <c r="B232" s="399">
        <v>617818</v>
      </c>
      <c r="C232" s="382">
        <f t="shared" si="21"/>
        <v>-20035</v>
      </c>
      <c r="D232" s="383">
        <f t="shared" si="22"/>
        <v>144757.58572573302</v>
      </c>
      <c r="E232" s="442">
        <v>1.7922104792301545</v>
      </c>
      <c r="F232" s="377">
        <v>28.34</v>
      </c>
      <c r="G232" s="465">
        <f t="shared" si="23"/>
        <v>53.34205233956262</v>
      </c>
      <c r="H232" s="405">
        <f t="shared" ref="H232:H234" si="26">+C232*G232</f>
        <v>-1068708.0186231371</v>
      </c>
      <c r="I232" s="386">
        <f t="shared" si="25"/>
        <v>7293375.2253582291</v>
      </c>
      <c r="J232" s="387">
        <f t="shared" si="24"/>
        <v>32955680.092323899</v>
      </c>
      <c r="K232" s="432">
        <f t="shared" si="18"/>
        <v>53.34205233956262</v>
      </c>
      <c r="N232" s="425"/>
    </row>
    <row r="233" spans="1:15" x14ac:dyDescent="0.25">
      <c r="A233" s="431">
        <f t="shared" si="20"/>
        <v>44352</v>
      </c>
      <c r="B233" s="399">
        <f>'[2]Lake Pleasant Forecast'!$R$45</f>
        <v>509991.68314103631</v>
      </c>
      <c r="C233" s="382">
        <f t="shared" si="21"/>
        <v>-107826.31685896369</v>
      </c>
      <c r="D233" s="383">
        <f t="shared" si="22"/>
        <v>36931.268866769329</v>
      </c>
      <c r="E233" s="442">
        <v>1.7922104792301545</v>
      </c>
      <c r="F233" s="377">
        <v>28.34</v>
      </c>
      <c r="G233" s="465">
        <f t="shared" si="23"/>
        <v>53.34205233956262</v>
      </c>
      <c r="H233" s="405">
        <f t="shared" si="26"/>
        <v>-5751677.0374731049</v>
      </c>
      <c r="I233" s="386">
        <f t="shared" si="25"/>
        <v>1541698.1878851242</v>
      </c>
      <c r="J233" s="387">
        <f t="shared" si="24"/>
        <v>27204003.054850794</v>
      </c>
      <c r="K233" s="432">
        <f t="shared" si="18"/>
        <v>53.34205233956262</v>
      </c>
    </row>
    <row r="234" spans="1:15" x14ac:dyDescent="0.25">
      <c r="A234" s="431">
        <f t="shared" si="20"/>
        <v>44383</v>
      </c>
      <c r="B234" s="399">
        <f>'[2]Lake Pleasant Forecast'!$R$47</f>
        <v>371976.5499741105</v>
      </c>
      <c r="C234" s="382">
        <f t="shared" si="21"/>
        <v>-138015.13316692581</v>
      </c>
      <c r="D234" s="383">
        <f t="shared" si="22"/>
        <v>-101083.86430015648</v>
      </c>
      <c r="E234" s="442">
        <v>1.7922104792301545</v>
      </c>
      <c r="F234" s="377">
        <v>28.34</v>
      </c>
      <c r="G234" s="465">
        <f t="shared" si="23"/>
        <v>53.34205233956262</v>
      </c>
      <c r="H234" s="405">
        <f t="shared" si="26"/>
        <v>-7362010.4570418615</v>
      </c>
      <c r="I234" s="386">
        <f t="shared" si="25"/>
        <v>-5820312.2691567373</v>
      </c>
      <c r="J234" s="387">
        <f t="shared" si="24"/>
        <v>19841992.597808935</v>
      </c>
      <c r="K234" s="432">
        <f t="shared" si="18"/>
        <v>53.342052339562628</v>
      </c>
    </row>
    <row r="235" spans="1:15" x14ac:dyDescent="0.25">
      <c r="A235" s="431">
        <f>A234+31</f>
        <v>44414</v>
      </c>
      <c r="B235" s="399">
        <f>'[2]Lake Pleasant Forecast'!$R$49</f>
        <v>270715.19712661213</v>
      </c>
      <c r="C235" s="382">
        <f>IF(B235=0,0,B235-B234)</f>
        <v>-101261.35284749838</v>
      </c>
      <c r="D235" s="383">
        <f>+C235+D234</f>
        <v>-202345.21714765485</v>
      </c>
      <c r="E235" s="442">
        <v>1.7922104792301545</v>
      </c>
      <c r="F235" s="377">
        <v>28.34</v>
      </c>
      <c r="G235" s="465">
        <f t="shared" si="23"/>
        <v>53.342052339562628</v>
      </c>
      <c r="H235" s="405">
        <f>+C235*G235</f>
        <v>-5401488.3835661775</v>
      </c>
      <c r="I235" s="386">
        <f t="shared" si="25"/>
        <v>-11221800.652722914</v>
      </c>
      <c r="J235" s="387">
        <f t="shared" si="24"/>
        <v>14440504.214242756</v>
      </c>
      <c r="K235" s="432">
        <f t="shared" si="18"/>
        <v>53.34205233956262</v>
      </c>
    </row>
    <row r="236" spans="1:15" x14ac:dyDescent="0.25">
      <c r="A236" s="431">
        <f t="shared" si="20"/>
        <v>44445</v>
      </c>
      <c r="B236" s="399">
        <f>'[2]Lake Pleasant Forecast'!$R$51</f>
        <v>282875.24867082416</v>
      </c>
      <c r="C236" s="382">
        <f t="shared" ref="C236:C239" si="27">IF(B236=0,0,B236-B235)</f>
        <v>12160.051544212038</v>
      </c>
      <c r="D236" s="383">
        <f t="shared" ref="D236:D239" si="28">+C236+D235</f>
        <v>-190185.16560344282</v>
      </c>
      <c r="E236" s="442">
        <v>1.7922104792301545</v>
      </c>
      <c r="F236" s="377">
        <v>28.34</v>
      </c>
      <c r="G236" s="465">
        <f t="shared" si="23"/>
        <v>50.791244981382576</v>
      </c>
      <c r="H236" s="405">
        <f>+C236*G236</f>
        <v>617624.15696831315</v>
      </c>
      <c r="I236" s="386">
        <f t="shared" si="25"/>
        <v>-10604176.495754601</v>
      </c>
      <c r="J236" s="387">
        <f t="shared" si="24"/>
        <v>15058128.371211069</v>
      </c>
      <c r="K236" s="432">
        <f t="shared" si="18"/>
        <v>53.23239994296528</v>
      </c>
    </row>
    <row r="237" spans="1:15" x14ac:dyDescent="0.25">
      <c r="A237" s="431">
        <f t="shared" si="20"/>
        <v>44476</v>
      </c>
      <c r="B237" s="399">
        <f>'[2]Lake Pleasant Forecast'!$R$53</f>
        <v>346468.18958938366</v>
      </c>
      <c r="C237" s="382">
        <f t="shared" si="27"/>
        <v>63592.9409185595</v>
      </c>
      <c r="D237" s="383">
        <f t="shared" si="28"/>
        <v>-126592.22468488332</v>
      </c>
      <c r="E237" s="442">
        <v>1.7922104792301545</v>
      </c>
      <c r="F237" s="377">
        <v>28.34</v>
      </c>
      <c r="G237" s="465">
        <f t="shared" si="23"/>
        <v>50.791244981382576</v>
      </c>
      <c r="H237" s="405">
        <f>+C237*G237</f>
        <v>3229964.6412811438</v>
      </c>
      <c r="I237" s="386">
        <f t="shared" si="25"/>
        <v>-7374211.8544734577</v>
      </c>
      <c r="J237" s="387">
        <f t="shared" si="24"/>
        <v>18288093.012492213</v>
      </c>
      <c r="K237" s="432">
        <f t="shared" si="18"/>
        <v>52.784335076089739</v>
      </c>
    </row>
    <row r="238" spans="1:15" x14ac:dyDescent="0.25">
      <c r="A238" s="431">
        <f t="shared" si="20"/>
        <v>44507</v>
      </c>
      <c r="B238" s="399">
        <f>'[2]Lake Pleasant Forecast'!$R$55</f>
        <v>430241.80374652677</v>
      </c>
      <c r="C238" s="382">
        <f t="shared" si="27"/>
        <v>83773.614157143107</v>
      </c>
      <c r="D238" s="383">
        <f t="shared" si="28"/>
        <v>-42818.610527740209</v>
      </c>
      <c r="E238" s="442">
        <v>1.7922104792301545</v>
      </c>
      <c r="F238" s="377">
        <v>28.34</v>
      </c>
      <c r="G238" s="465">
        <f t="shared" si="23"/>
        <v>50.791244981382576</v>
      </c>
      <c r="H238" s="405">
        <f>+C238*G238</f>
        <v>4254966.1596312756</v>
      </c>
      <c r="I238" s="386">
        <f t="shared" si="25"/>
        <v>-3119245.6948421821</v>
      </c>
      <c r="J238" s="387">
        <f t="shared" si="24"/>
        <v>22543059.172123488</v>
      </c>
      <c r="K238" s="432">
        <f t="shared" si="18"/>
        <v>52.396254793977519</v>
      </c>
    </row>
    <row r="239" spans="1:15" ht="13.8" thickBot="1" x14ac:dyDescent="0.3">
      <c r="A239" s="433">
        <f t="shared" si="20"/>
        <v>44538</v>
      </c>
      <c r="B239" s="444">
        <f>'Lake Pleasant Forecast'!R57</f>
        <v>473060.41427426698</v>
      </c>
      <c r="C239" s="445">
        <f t="shared" si="27"/>
        <v>42818.610527740209</v>
      </c>
      <c r="D239" s="445">
        <f t="shared" si="28"/>
        <v>0</v>
      </c>
      <c r="E239" s="426">
        <v>1.7922104792301545</v>
      </c>
      <c r="F239" s="393">
        <v>28.34</v>
      </c>
      <c r="G239" s="453">
        <f t="shared" si="23"/>
        <v>50.791244981382576</v>
      </c>
      <c r="H239" s="448">
        <f>+C239*G239</f>
        <v>2174810.5370768602</v>
      </c>
      <c r="I239" s="396">
        <f t="shared" si="25"/>
        <v>-944435.1577653219</v>
      </c>
      <c r="J239" s="466">
        <f t="shared" si="24"/>
        <v>24717869.709200349</v>
      </c>
      <c r="K239" s="434">
        <f t="shared" si="18"/>
        <v>52.250978867298819</v>
      </c>
      <c r="O239" s="423"/>
    </row>
    <row r="240" spans="1:15" ht="13.8" thickBot="1" x14ac:dyDescent="0.3">
      <c r="A240" s="352"/>
      <c r="B240" s="435"/>
      <c r="C240" s="436"/>
      <c r="D240" s="436"/>
      <c r="E240" s="467"/>
      <c r="G240" s="472"/>
      <c r="H240" s="439"/>
      <c r="I240" s="470"/>
      <c r="J240" s="462"/>
      <c r="K240" s="471"/>
      <c r="O240" s="423"/>
    </row>
    <row r="241" spans="1:15" x14ac:dyDescent="0.25">
      <c r="A241" s="427">
        <v>44562</v>
      </c>
      <c r="B241" s="452">
        <f>'Lake Pleasant Forecast'!R83</f>
        <v>512182.12484288076</v>
      </c>
      <c r="C241" s="408">
        <f>B241-B239</f>
        <v>39121.71056861378</v>
      </c>
      <c r="D241" s="409">
        <f>+C241</f>
        <v>39121.71056861378</v>
      </c>
      <c r="E241" s="428">
        <f>'[3]CAP System MWH per AF'!H18</f>
        <v>1.8838752347038836</v>
      </c>
      <c r="F241" s="473">
        <f>'2022 Transaction Totals'!Q212</f>
        <v>24.867782147249745</v>
      </c>
      <c r="G241" s="464">
        <f>E241*F241</f>
        <v>46.847798929215159</v>
      </c>
      <c r="H241" s="429">
        <f>ROUND(C241*G241,2)</f>
        <v>1832766.03</v>
      </c>
      <c r="I241" s="413">
        <f>+H241</f>
        <v>1832766.03</v>
      </c>
      <c r="J241" s="414">
        <f>J239+H241</f>
        <v>26550635.73920035</v>
      </c>
      <c r="K241" s="430">
        <f t="shared" ref="K241:K252" si="29">IF(J241="",0,J241/+B241)</f>
        <v>51.838270902845622</v>
      </c>
    </row>
    <row r="242" spans="1:15" x14ac:dyDescent="0.25">
      <c r="A242" s="431">
        <f>A241+31</f>
        <v>44593</v>
      </c>
      <c r="B242" s="443">
        <f>'Lake Pleasant Forecast'!R85</f>
        <v>531565.0355071011</v>
      </c>
      <c r="C242" s="382">
        <f>IF(B242=0,0,B242-B241)</f>
        <v>19382.910664220341</v>
      </c>
      <c r="D242" s="383">
        <f>+C242+D241</f>
        <v>58504.621232834121</v>
      </c>
      <c r="E242" s="442">
        <f t="shared" ref="E242:E252" si="30">$E$241</f>
        <v>1.8838752347038836</v>
      </c>
      <c r="F242" s="474">
        <f>$F$241</f>
        <v>24.867782147249745</v>
      </c>
      <c r="G242" s="465">
        <f>IF(C242&lt;0,K241,E242*F242)</f>
        <v>46.847798929215159</v>
      </c>
      <c r="H242" s="405">
        <f t="shared" ref="H242:H243" si="31">+C242*G242</f>
        <v>908046.70146033471</v>
      </c>
      <c r="I242" s="386">
        <f>IF(H242=0,"",I241+H242)</f>
        <v>2740812.7314603347</v>
      </c>
      <c r="J242" s="387">
        <f>IF(H242=0,"",J241+H242)</f>
        <v>27458682.440660685</v>
      </c>
      <c r="K242" s="432">
        <f t="shared" si="29"/>
        <v>51.656299053728617</v>
      </c>
    </row>
    <row r="243" spans="1:15" x14ac:dyDescent="0.25">
      <c r="A243" s="431">
        <f t="shared" ref="A243:A252" si="32">A242+31</f>
        <v>44624</v>
      </c>
      <c r="B243" s="443">
        <f>'Lake Pleasant Forecast'!R87</f>
        <v>584638.05181009485</v>
      </c>
      <c r="C243" s="382">
        <f t="shared" ref="C243:C247" si="33">IF(B243=0,0,B243-B242)</f>
        <v>53073.016302993754</v>
      </c>
      <c r="D243" s="383">
        <f t="shared" ref="D243:D247" si="34">+C243+D242</f>
        <v>111577.63753582787</v>
      </c>
      <c r="E243" s="442">
        <f t="shared" si="30"/>
        <v>1.8838752347038836</v>
      </c>
      <c r="F243" s="474">
        <f t="shared" ref="F243:F252" si="35">$F$241</f>
        <v>24.867782147249745</v>
      </c>
      <c r="G243" s="465">
        <f t="shared" ref="G243:G252" si="36">IF(C243&lt;0,K242,E243*F243)</f>
        <v>46.847798929215159</v>
      </c>
      <c r="H243" s="405">
        <f t="shared" si="31"/>
        <v>2486353.9963296093</v>
      </c>
      <c r="I243" s="386">
        <f>IF(H243=0,"",I242+H243)</f>
        <v>5227166.727789944</v>
      </c>
      <c r="J243" s="387">
        <f t="shared" ref="J243:J252" si="37">IF(H243=0,"",J242+H243)</f>
        <v>29945036.436990295</v>
      </c>
      <c r="K243" s="432">
        <f t="shared" si="29"/>
        <v>51.219786916499231</v>
      </c>
      <c r="N243" s="425"/>
    </row>
    <row r="244" spans="1:15" x14ac:dyDescent="0.25">
      <c r="A244" s="431">
        <f t="shared" si="32"/>
        <v>44655</v>
      </c>
      <c r="B244" s="399">
        <f>'Lake Pleasant Forecast'!R89</f>
        <v>612272.03603438148</v>
      </c>
      <c r="C244" s="382">
        <f t="shared" si="33"/>
        <v>27633.984224286629</v>
      </c>
      <c r="D244" s="383">
        <f t="shared" si="34"/>
        <v>139211.6217601145</v>
      </c>
      <c r="E244" s="442">
        <f t="shared" si="30"/>
        <v>1.8838752347038836</v>
      </c>
      <c r="F244" s="474">
        <f t="shared" si="35"/>
        <v>24.867782147249745</v>
      </c>
      <c r="G244" s="465">
        <f t="shared" si="36"/>
        <v>46.847798929215159</v>
      </c>
      <c r="H244" s="405">
        <f>+C244*G244</f>
        <v>1294591.3365524837</v>
      </c>
      <c r="I244" s="386">
        <f t="shared" ref="I244:I252" si="38">IF(H244=0,"",I243+H244)</f>
        <v>6521758.064342428</v>
      </c>
      <c r="J244" s="387">
        <f t="shared" si="37"/>
        <v>31239627.773542777</v>
      </c>
      <c r="K244" s="432">
        <f t="shared" si="29"/>
        <v>51.022463766071048</v>
      </c>
      <c r="M244" s="338"/>
    </row>
    <row r="245" spans="1:15" x14ac:dyDescent="0.25">
      <c r="A245" s="431">
        <f t="shared" si="32"/>
        <v>44686</v>
      </c>
      <c r="B245" s="399">
        <f>'Lake Pleasant Forecast'!R91</f>
        <v>632356.91758354229</v>
      </c>
      <c r="C245" s="382">
        <f t="shared" si="33"/>
        <v>20084.881549160811</v>
      </c>
      <c r="D245" s="383">
        <f t="shared" si="34"/>
        <v>159296.50330927531</v>
      </c>
      <c r="E245" s="442">
        <f t="shared" si="30"/>
        <v>1.8838752347038836</v>
      </c>
      <c r="F245" s="474">
        <f t="shared" si="35"/>
        <v>24.867782147249745</v>
      </c>
      <c r="G245" s="465">
        <f t="shared" si="36"/>
        <v>46.847798929215159</v>
      </c>
      <c r="H245" s="405">
        <f t="shared" ref="H245:H247" si="39">+C245*G245</f>
        <v>940932.49233218911</v>
      </c>
      <c r="I245" s="386">
        <f t="shared" si="38"/>
        <v>7462690.5566746173</v>
      </c>
      <c r="J245" s="387">
        <f t="shared" si="37"/>
        <v>32180560.265874967</v>
      </c>
      <c r="K245" s="432">
        <f t="shared" si="29"/>
        <v>50.889868318114054</v>
      </c>
      <c r="N245" s="425"/>
    </row>
    <row r="246" spans="1:15" x14ac:dyDescent="0.25">
      <c r="A246" s="431">
        <f t="shared" si="32"/>
        <v>44717</v>
      </c>
      <c r="B246" s="399">
        <f>'Lake Pleasant Forecast'!R93</f>
        <v>545821.02092579741</v>
      </c>
      <c r="C246" s="382">
        <f t="shared" si="33"/>
        <v>-86535.896657744888</v>
      </c>
      <c r="D246" s="383">
        <f t="shared" si="34"/>
        <v>72760.606651530426</v>
      </c>
      <c r="E246" s="442">
        <f t="shared" si="30"/>
        <v>1.8838752347038836</v>
      </c>
      <c r="F246" s="474">
        <f t="shared" si="35"/>
        <v>24.867782147249745</v>
      </c>
      <c r="G246" s="465">
        <f t="shared" si="36"/>
        <v>50.889868318114054</v>
      </c>
      <c r="H246" s="405">
        <f t="shared" si="39"/>
        <v>-4403800.3857025634</v>
      </c>
      <c r="I246" s="386">
        <f t="shared" si="38"/>
        <v>3058890.1709720539</v>
      </c>
      <c r="J246" s="387">
        <f t="shared" si="37"/>
        <v>27776759.880172402</v>
      </c>
      <c r="K246" s="432">
        <f t="shared" si="29"/>
        <v>50.889868318114047</v>
      </c>
    </row>
    <row r="247" spans="1:15" x14ac:dyDescent="0.25">
      <c r="A247" s="431">
        <f t="shared" si="32"/>
        <v>44748</v>
      </c>
      <c r="B247" s="399">
        <f>'Lake Pleasant Forecast'!R95</f>
        <v>432331.80870622967</v>
      </c>
      <c r="C247" s="382">
        <f t="shared" si="33"/>
        <v>-113489.21221956774</v>
      </c>
      <c r="D247" s="383">
        <f t="shared" si="34"/>
        <v>-40728.60556803731</v>
      </c>
      <c r="E247" s="442">
        <f t="shared" si="30"/>
        <v>1.8838752347038836</v>
      </c>
      <c r="F247" s="474">
        <f t="shared" si="35"/>
        <v>24.867782147249745</v>
      </c>
      <c r="G247" s="465">
        <f t="shared" si="36"/>
        <v>50.889868318114047</v>
      </c>
      <c r="H247" s="405">
        <f t="shared" si="39"/>
        <v>-5775451.0653803013</v>
      </c>
      <c r="I247" s="386">
        <f t="shared" si="38"/>
        <v>-2716560.8944082474</v>
      </c>
      <c r="J247" s="387">
        <f t="shared" si="37"/>
        <v>22001308.8147921</v>
      </c>
      <c r="K247" s="432">
        <f t="shared" si="29"/>
        <v>50.889868318114047</v>
      </c>
    </row>
    <row r="248" spans="1:15" x14ac:dyDescent="0.25">
      <c r="A248" s="431">
        <f>A247+31</f>
        <v>44779</v>
      </c>
      <c r="B248" s="399">
        <f>'Lake Pleasant Forecast'!R97</f>
        <v>334416.24933149526</v>
      </c>
      <c r="C248" s="382">
        <f>IF(B248=0,0,B248-B247)</f>
        <v>-97915.55937473441</v>
      </c>
      <c r="D248" s="383">
        <f>+C248+D247</f>
        <v>-138644.16494277172</v>
      </c>
      <c r="E248" s="442">
        <f t="shared" si="30"/>
        <v>1.8838752347038836</v>
      </c>
      <c r="F248" s="474">
        <f t="shared" si="35"/>
        <v>24.867782147249745</v>
      </c>
      <c r="G248" s="465">
        <f t="shared" si="36"/>
        <v>50.889868318114047</v>
      </c>
      <c r="H248" s="405">
        <f>+C248*G248</f>
        <v>-4982909.9228747115</v>
      </c>
      <c r="I248" s="386">
        <f t="shared" si="38"/>
        <v>-7699470.8172829589</v>
      </c>
      <c r="J248" s="387">
        <f t="shared" si="37"/>
        <v>17018398.891917389</v>
      </c>
      <c r="K248" s="432">
        <f t="shared" si="29"/>
        <v>50.889868318114047</v>
      </c>
    </row>
    <row r="249" spans="1:15" x14ac:dyDescent="0.25">
      <c r="A249" s="431">
        <f t="shared" si="32"/>
        <v>44810</v>
      </c>
      <c r="B249" s="399">
        <f>'Lake Pleasant Forecast'!R99</f>
        <v>320858.38258299034</v>
      </c>
      <c r="C249" s="382">
        <f t="shared" ref="C249:C252" si="40">IF(B249=0,0,B249-B248)</f>
        <v>-13557.866748504923</v>
      </c>
      <c r="D249" s="383">
        <f t="shared" ref="D249:D252" si="41">+C249+D248</f>
        <v>-152202.03169127664</v>
      </c>
      <c r="E249" s="442">
        <f t="shared" si="30"/>
        <v>1.8838752347038836</v>
      </c>
      <c r="F249" s="474">
        <f t="shared" si="35"/>
        <v>24.867782147249745</v>
      </c>
      <c r="G249" s="465">
        <f t="shared" si="36"/>
        <v>50.889868318114047</v>
      </c>
      <c r="H249" s="405">
        <f>+C249*G249</f>
        <v>-689958.05350595259</v>
      </c>
      <c r="I249" s="386">
        <f t="shared" si="38"/>
        <v>-8389428.8707889114</v>
      </c>
      <c r="J249" s="387">
        <f t="shared" si="37"/>
        <v>16328440.838411435</v>
      </c>
      <c r="K249" s="432">
        <f t="shared" si="29"/>
        <v>50.889868318114047</v>
      </c>
    </row>
    <row r="250" spans="1:15" x14ac:dyDescent="0.25">
      <c r="A250" s="431">
        <f t="shared" si="32"/>
        <v>44841</v>
      </c>
      <c r="B250" s="399">
        <f>'Lake Pleasant Forecast'!R101</f>
        <v>333968.36419512809</v>
      </c>
      <c r="C250" s="382">
        <f t="shared" si="40"/>
        <v>13109.981612137752</v>
      </c>
      <c r="D250" s="383">
        <f t="shared" si="41"/>
        <v>-139092.05007913889</v>
      </c>
      <c r="E250" s="442">
        <f t="shared" si="30"/>
        <v>1.8838752347038836</v>
      </c>
      <c r="F250" s="474">
        <f t="shared" si="35"/>
        <v>24.867782147249745</v>
      </c>
      <c r="G250" s="465">
        <f t="shared" si="36"/>
        <v>46.847798929215159</v>
      </c>
      <c r="H250" s="405">
        <f>+C250*G250</f>
        <v>614173.78253113735</v>
      </c>
      <c r="I250" s="386">
        <f t="shared" si="38"/>
        <v>-7775255.0882577738</v>
      </c>
      <c r="J250" s="387">
        <f t="shared" si="37"/>
        <v>16942614.620942574</v>
      </c>
      <c r="K250" s="432">
        <f t="shared" si="29"/>
        <v>50.731196237028882</v>
      </c>
    </row>
    <row r="251" spans="1:15" x14ac:dyDescent="0.25">
      <c r="A251" s="431">
        <f t="shared" si="32"/>
        <v>44872</v>
      </c>
      <c r="B251" s="399">
        <f>'Lake Pleasant Forecast'!R103</f>
        <v>363487.43310029624</v>
      </c>
      <c r="C251" s="382">
        <f t="shared" si="40"/>
        <v>29519.068905168155</v>
      </c>
      <c r="D251" s="383">
        <f t="shared" si="41"/>
        <v>-109572.98117397074</v>
      </c>
      <c r="E251" s="442">
        <f t="shared" si="30"/>
        <v>1.8838752347038836</v>
      </c>
      <c r="F251" s="474">
        <f t="shared" si="35"/>
        <v>24.867782147249745</v>
      </c>
      <c r="G251" s="465">
        <f t="shared" si="36"/>
        <v>46.847798929215159</v>
      </c>
      <c r="H251" s="405">
        <f>+C251*G251</f>
        <v>1382903.4046469652</v>
      </c>
      <c r="I251" s="386">
        <f t="shared" si="38"/>
        <v>-6392351.6836108081</v>
      </c>
      <c r="J251" s="387">
        <f t="shared" si="37"/>
        <v>18325518.025589541</v>
      </c>
      <c r="K251" s="432">
        <f t="shared" si="29"/>
        <v>50.415822823049353</v>
      </c>
    </row>
    <row r="252" spans="1:15" ht="13.8" thickBot="1" x14ac:dyDescent="0.3">
      <c r="A252" s="433">
        <f t="shared" si="32"/>
        <v>44903</v>
      </c>
      <c r="B252" s="444">
        <f>'Lake Pleasant Forecast'!R105</f>
        <v>383904.78828183957</v>
      </c>
      <c r="C252" s="445">
        <f t="shared" si="40"/>
        <v>20417.355181543331</v>
      </c>
      <c r="D252" s="445">
        <f t="shared" si="41"/>
        <v>-89155.625992427405</v>
      </c>
      <c r="E252" s="442">
        <f t="shared" si="30"/>
        <v>1.8838752347038836</v>
      </c>
      <c r="F252" s="475">
        <f t="shared" si="35"/>
        <v>24.867782147249745</v>
      </c>
      <c r="G252" s="453">
        <f t="shared" si="36"/>
        <v>46.847798929215159</v>
      </c>
      <c r="H252" s="448">
        <f>+C252*G252</f>
        <v>956508.15021131129</v>
      </c>
      <c r="I252" s="396">
        <f t="shared" si="38"/>
        <v>-5435843.5333994972</v>
      </c>
      <c r="J252" s="466">
        <f t="shared" si="37"/>
        <v>19282026.175800852</v>
      </c>
      <c r="K252" s="434">
        <f t="shared" si="29"/>
        <v>50.226063243694583</v>
      </c>
      <c r="M252" s="477">
        <f>-I252/Load!P26</f>
        <v>5.1711430623251955</v>
      </c>
      <c r="O252" s="423"/>
    </row>
    <row r="253" spans="1:15" ht="13.8" thickBot="1" x14ac:dyDescent="0.3">
      <c r="B253" s="476"/>
    </row>
    <row r="254" spans="1:15" x14ac:dyDescent="0.25">
      <c r="A254" s="427">
        <v>44927</v>
      </c>
      <c r="B254" s="452">
        <f>'[2]Lake Pleasant Forecast'!$R$131</f>
        <v>457487.10823838081</v>
      </c>
      <c r="C254" s="408">
        <f>B254-B252</f>
        <v>73582.319956541236</v>
      </c>
      <c r="D254" s="409">
        <f>+C254</f>
        <v>73582.319956541236</v>
      </c>
      <c r="E254" s="428">
        <f>'[3]CAP System MWH per AF'!H48</f>
        <v>1.8204374789822564</v>
      </c>
      <c r="F254" s="473">
        <f>'[3]Energy 2019-2023'!H23</f>
        <v>32.081012814036235</v>
      </c>
      <c r="G254" s="464">
        <f>E254*F254</f>
        <v>58.401478090381588</v>
      </c>
      <c r="H254" s="429">
        <f>ROUND(C254*G254,2)</f>
        <v>4297316.25</v>
      </c>
      <c r="I254" s="413">
        <f>+H254</f>
        <v>4297316.25</v>
      </c>
      <c r="J254" s="414">
        <f>J252+H254</f>
        <v>23579342.425800852</v>
      </c>
      <c r="K254" s="430">
        <f t="shared" ref="K254:K265" si="42">IF(J254="",0,J254/+B254)</f>
        <v>51.540998644959558</v>
      </c>
    </row>
    <row r="255" spans="1:15" x14ac:dyDescent="0.25">
      <c r="A255" s="431">
        <f>A254+31</f>
        <v>44958</v>
      </c>
      <c r="B255" s="443">
        <f>'[2]Lake Pleasant Forecast'!$R$133</f>
        <v>511045.1214393772</v>
      </c>
      <c r="C255" s="382">
        <f>IF(B255=0,0,B255-B254)</f>
        <v>53558.013200996385</v>
      </c>
      <c r="D255" s="383">
        <f>+C255+D254</f>
        <v>127140.33315753762</v>
      </c>
      <c r="E255" s="442">
        <f t="shared" ref="E255:E265" si="43">$E$254</f>
        <v>1.8204374789822564</v>
      </c>
      <c r="F255" s="474">
        <f>$F$254</f>
        <v>32.081012814036235</v>
      </c>
      <c r="G255" s="465">
        <f>IF(C255&lt;0,K254,E255*F255)</f>
        <v>58.401478090381588</v>
      </c>
      <c r="H255" s="405">
        <f t="shared" ref="H255:H256" si="44">+C255*G255</f>
        <v>3127867.1345223584</v>
      </c>
      <c r="I255" s="386">
        <f>IF(H255=0,"",I254+H255)</f>
        <v>7425183.384522358</v>
      </c>
      <c r="J255" s="387">
        <f>IF(H255=0,"",J254+H255)</f>
        <v>26707209.560323212</v>
      </c>
      <c r="K255" s="432">
        <f t="shared" si="42"/>
        <v>52.259983394619603</v>
      </c>
    </row>
    <row r="256" spans="1:15" x14ac:dyDescent="0.25">
      <c r="A256" s="431">
        <f t="shared" ref="A256:A265" si="45">A255+31</f>
        <v>44989</v>
      </c>
      <c r="B256" s="443">
        <f>'[2]Lake Pleasant Forecast'!$R$135</f>
        <v>538325.75393127184</v>
      </c>
      <c r="C256" s="382">
        <f t="shared" ref="C256:C260" si="46">IF(B256=0,0,B256-B255)</f>
        <v>27280.632491894648</v>
      </c>
      <c r="D256" s="383">
        <f t="shared" ref="D256:D260" si="47">+C256+D255</f>
        <v>154420.96564943227</v>
      </c>
      <c r="E256" s="442">
        <f t="shared" si="43"/>
        <v>1.8204374789822564</v>
      </c>
      <c r="F256" s="474">
        <f t="shared" ref="F256:F265" si="48">$F$254</f>
        <v>32.081012814036235</v>
      </c>
      <c r="G256" s="465">
        <f t="shared" ref="G256:G265" si="49">IF(C256&lt;0,K255,E256*F256)</f>
        <v>58.401478090381588</v>
      </c>
      <c r="H256" s="405">
        <f t="shared" si="44"/>
        <v>1593229.2607671374</v>
      </c>
      <c r="I256" s="386">
        <f>IF(H256=0,"",I255+H256)</f>
        <v>9018412.6452894956</v>
      </c>
      <c r="J256" s="387">
        <f t="shared" ref="J256:J265" si="50">IF(H256=0,"",J255+H256)</f>
        <v>28300438.821090348</v>
      </c>
      <c r="K256" s="432">
        <f t="shared" si="42"/>
        <v>52.571214760614019</v>
      </c>
      <c r="N256" s="425"/>
    </row>
    <row r="257" spans="1:15" x14ac:dyDescent="0.25">
      <c r="A257" s="431">
        <f t="shared" si="45"/>
        <v>45020</v>
      </c>
      <c r="B257" s="399">
        <f>'[2]Lake Pleasant Forecast'!$R$137</f>
        <v>546580.28379617678</v>
      </c>
      <c r="C257" s="382">
        <f t="shared" si="46"/>
        <v>8254.5298649049364</v>
      </c>
      <c r="D257" s="383">
        <f t="shared" si="47"/>
        <v>162675.49551433721</v>
      </c>
      <c r="E257" s="442">
        <f t="shared" si="43"/>
        <v>1.8204374789822564</v>
      </c>
      <c r="F257" s="474">
        <f t="shared" si="48"/>
        <v>32.081012814036235</v>
      </c>
      <c r="G257" s="465">
        <f t="shared" si="49"/>
        <v>58.401478090381588</v>
      </c>
      <c r="H257" s="405">
        <f>+C257*G257</f>
        <v>482076.74505164614</v>
      </c>
      <c r="I257" s="386">
        <f t="shared" ref="I257:I265" si="51">IF(H257=0,"",I256+H257)</f>
        <v>9500489.3903411422</v>
      </c>
      <c r="J257" s="387">
        <f t="shared" si="50"/>
        <v>28782515.566141993</v>
      </c>
      <c r="K257" s="432">
        <f t="shared" si="42"/>
        <v>52.659264191233021</v>
      </c>
      <c r="M257" s="338"/>
    </row>
    <row r="258" spans="1:15" x14ac:dyDescent="0.25">
      <c r="A258" s="431">
        <f t="shared" si="45"/>
        <v>45051</v>
      </c>
      <c r="B258" s="399">
        <f>'[2]Lake Pleasant Forecast'!$R$139</f>
        <v>531982.6906786816</v>
      </c>
      <c r="C258" s="382">
        <f t="shared" si="46"/>
        <v>-14597.593117495184</v>
      </c>
      <c r="D258" s="383">
        <f t="shared" si="47"/>
        <v>148077.90239684202</v>
      </c>
      <c r="E258" s="442">
        <f t="shared" si="43"/>
        <v>1.8204374789822564</v>
      </c>
      <c r="F258" s="474">
        <f t="shared" si="48"/>
        <v>32.081012814036235</v>
      </c>
      <c r="G258" s="465">
        <f t="shared" si="49"/>
        <v>52.659264191233021</v>
      </c>
      <c r="H258" s="405">
        <f t="shared" ref="H258:H260" si="52">+C258*G258</f>
        <v>-768698.51253030368</v>
      </c>
      <c r="I258" s="386">
        <f t="shared" si="51"/>
        <v>8731790.8778108377</v>
      </c>
      <c r="J258" s="387">
        <f t="shared" si="50"/>
        <v>28013817.053611688</v>
      </c>
      <c r="K258" s="432">
        <f t="shared" si="42"/>
        <v>52.659264191233014</v>
      </c>
      <c r="N258" s="425"/>
    </row>
    <row r="259" spans="1:15" x14ac:dyDescent="0.25">
      <c r="A259" s="431">
        <f t="shared" si="45"/>
        <v>45082</v>
      </c>
      <c r="B259" s="399">
        <f>'[2]Lake Pleasant Forecast'!$R$141</f>
        <v>447002.73646268022</v>
      </c>
      <c r="C259" s="382">
        <f t="shared" si="46"/>
        <v>-84979.954216001381</v>
      </c>
      <c r="D259" s="383">
        <f t="shared" si="47"/>
        <v>63097.948180840642</v>
      </c>
      <c r="E259" s="442">
        <f t="shared" si="43"/>
        <v>1.8204374789822564</v>
      </c>
      <c r="F259" s="474">
        <f t="shared" si="48"/>
        <v>32.081012814036235</v>
      </c>
      <c r="G259" s="465">
        <f t="shared" si="49"/>
        <v>52.659264191233014</v>
      </c>
      <c r="H259" s="405">
        <f t="shared" si="52"/>
        <v>-4474981.8600193029</v>
      </c>
      <c r="I259" s="386">
        <f t="shared" si="51"/>
        <v>4256809.0177915348</v>
      </c>
      <c r="J259" s="387">
        <f t="shared" si="50"/>
        <v>23538835.193592384</v>
      </c>
      <c r="K259" s="432">
        <f t="shared" si="42"/>
        <v>52.659264191233014</v>
      </c>
    </row>
    <row r="260" spans="1:15" x14ac:dyDescent="0.25">
      <c r="A260" s="431">
        <f t="shared" si="45"/>
        <v>45113</v>
      </c>
      <c r="B260" s="399">
        <f>'[2]Lake Pleasant Forecast'!$R$143</f>
        <v>329296.36720308178</v>
      </c>
      <c r="C260" s="382">
        <f t="shared" si="46"/>
        <v>-117706.36925959843</v>
      </c>
      <c r="D260" s="383">
        <f t="shared" si="47"/>
        <v>-54608.42107875779</v>
      </c>
      <c r="E260" s="442">
        <f t="shared" si="43"/>
        <v>1.8204374789822564</v>
      </c>
      <c r="F260" s="474">
        <f t="shared" si="48"/>
        <v>32.081012814036235</v>
      </c>
      <c r="G260" s="465">
        <f t="shared" si="49"/>
        <v>52.659264191233014</v>
      </c>
      <c r="H260" s="405">
        <f t="shared" si="52"/>
        <v>-6198330.7958320221</v>
      </c>
      <c r="I260" s="386">
        <f t="shared" si="51"/>
        <v>-1941521.7780404873</v>
      </c>
      <c r="J260" s="387">
        <f t="shared" si="50"/>
        <v>17340504.397760361</v>
      </c>
      <c r="K260" s="432">
        <f t="shared" si="42"/>
        <v>52.659264191233014</v>
      </c>
    </row>
    <row r="261" spans="1:15" x14ac:dyDescent="0.25">
      <c r="A261" s="431">
        <f>A260+31</f>
        <v>45144</v>
      </c>
      <c r="B261" s="399">
        <f>'[2]Lake Pleasant Forecast'!$R$145</f>
        <v>246452.86138219084</v>
      </c>
      <c r="C261" s="382">
        <f>IF(B261=0,0,B261-B260)</f>
        <v>-82843.505820890947</v>
      </c>
      <c r="D261" s="383">
        <f>+C261+D260</f>
        <v>-137451.92689964874</v>
      </c>
      <c r="E261" s="442">
        <f t="shared" si="43"/>
        <v>1.8204374789822564</v>
      </c>
      <c r="F261" s="474">
        <f t="shared" si="48"/>
        <v>32.081012814036235</v>
      </c>
      <c r="G261" s="465">
        <f t="shared" si="49"/>
        <v>52.659264191233014</v>
      </c>
      <c r="H261" s="405">
        <f>+C261*G261</f>
        <v>-4362478.0595502462</v>
      </c>
      <c r="I261" s="386">
        <f t="shared" si="51"/>
        <v>-6303999.8375907335</v>
      </c>
      <c r="J261" s="387">
        <f t="shared" si="50"/>
        <v>12978026.338210115</v>
      </c>
      <c r="K261" s="432">
        <f t="shared" si="42"/>
        <v>52.659264191233014</v>
      </c>
    </row>
    <row r="262" spans="1:15" x14ac:dyDescent="0.25">
      <c r="A262" s="431">
        <f t="shared" si="45"/>
        <v>45175</v>
      </c>
      <c r="B262" s="399">
        <f>'[2]Lake Pleasant Forecast'!$R$147</f>
        <v>245295.10576695239</v>
      </c>
      <c r="C262" s="382">
        <f t="shared" ref="C262:C265" si="53">IF(B262=0,0,B262-B261)</f>
        <v>-1157.7556152384495</v>
      </c>
      <c r="D262" s="383">
        <f t="shared" ref="D262:D265" si="54">+C262+D261</f>
        <v>-138609.68251488719</v>
      </c>
      <c r="E262" s="442">
        <f t="shared" si="43"/>
        <v>1.8204374789822564</v>
      </c>
      <c r="F262" s="474">
        <f t="shared" si="48"/>
        <v>32.081012814036235</v>
      </c>
      <c r="G262" s="465">
        <f t="shared" si="49"/>
        <v>52.659264191233014</v>
      </c>
      <c r="H262" s="405">
        <f>+C262*G262</f>
        <v>-60966.55881172503</v>
      </c>
      <c r="I262" s="386">
        <f t="shared" si="51"/>
        <v>-6364966.3964024587</v>
      </c>
      <c r="J262" s="387">
        <f t="shared" si="50"/>
        <v>12917059.779398391</v>
      </c>
      <c r="K262" s="432">
        <f t="shared" si="42"/>
        <v>52.659264191233014</v>
      </c>
    </row>
    <row r="263" spans="1:15" x14ac:dyDescent="0.25">
      <c r="A263" s="431">
        <f t="shared" si="45"/>
        <v>45206</v>
      </c>
      <c r="B263" s="399">
        <f>'[2]Lake Pleasant Forecast'!$R$149</f>
        <v>285692.3668760822</v>
      </c>
      <c r="C263" s="382">
        <f t="shared" si="53"/>
        <v>40397.261109129817</v>
      </c>
      <c r="D263" s="383">
        <f t="shared" si="54"/>
        <v>-98212.42140575737</v>
      </c>
      <c r="E263" s="442">
        <f t="shared" si="43"/>
        <v>1.8204374789822564</v>
      </c>
      <c r="F263" s="474">
        <f t="shared" si="48"/>
        <v>32.081012814036235</v>
      </c>
      <c r="G263" s="465">
        <f t="shared" si="49"/>
        <v>58.401478090381588</v>
      </c>
      <c r="H263" s="405">
        <f>+C263*G263</f>
        <v>2359259.759576269</v>
      </c>
      <c r="I263" s="386">
        <f t="shared" si="51"/>
        <v>-4005706.6368261897</v>
      </c>
      <c r="J263" s="387">
        <f t="shared" si="50"/>
        <v>15276319.53897466</v>
      </c>
      <c r="K263" s="432">
        <f t="shared" si="42"/>
        <v>53.471220481017248</v>
      </c>
    </row>
    <row r="264" spans="1:15" x14ac:dyDescent="0.25">
      <c r="A264" s="431">
        <f t="shared" si="45"/>
        <v>45237</v>
      </c>
      <c r="B264" s="399">
        <f>'[2]Lake Pleasant Forecast'!$R$151</f>
        <v>359085.53696212394</v>
      </c>
      <c r="C264" s="382">
        <f t="shared" si="53"/>
        <v>73393.170086041733</v>
      </c>
      <c r="D264" s="383">
        <f t="shared" si="54"/>
        <v>-24819.251319715637</v>
      </c>
      <c r="E264" s="442">
        <f t="shared" si="43"/>
        <v>1.8204374789822564</v>
      </c>
      <c r="F264" s="474">
        <f t="shared" si="48"/>
        <v>32.081012814036235</v>
      </c>
      <c r="G264" s="465">
        <f t="shared" si="49"/>
        <v>58.401478090381588</v>
      </c>
      <c r="H264" s="405">
        <f>+C264*G264</f>
        <v>4286269.6147636157</v>
      </c>
      <c r="I264" s="386">
        <f t="shared" si="51"/>
        <v>280562.97793742595</v>
      </c>
      <c r="J264" s="387">
        <f t="shared" si="50"/>
        <v>19562589.153738275</v>
      </c>
      <c r="K264" s="432">
        <f t="shared" si="42"/>
        <v>54.478911401551997</v>
      </c>
    </row>
    <row r="265" spans="1:15" ht="13.8" thickBot="1" x14ac:dyDescent="0.3">
      <c r="A265" s="433">
        <f t="shared" si="45"/>
        <v>45268</v>
      </c>
      <c r="B265" s="444">
        <f>'[2]Lake Pleasant Forecast'!$R$153</f>
        <v>408093.38046321122</v>
      </c>
      <c r="C265" s="445">
        <f t="shared" si="53"/>
        <v>49007.843501087278</v>
      </c>
      <c r="D265" s="445">
        <f t="shared" si="54"/>
        <v>24188.592181371641</v>
      </c>
      <c r="E265" s="442">
        <f t="shared" si="43"/>
        <v>1.8204374789822564</v>
      </c>
      <c r="F265" s="475">
        <f t="shared" si="48"/>
        <v>32.081012814036235</v>
      </c>
      <c r="G265" s="453">
        <f t="shared" si="49"/>
        <v>58.401478090381588</v>
      </c>
      <c r="H265" s="448">
        <f>+C265*G265</f>
        <v>2862130.4984855982</v>
      </c>
      <c r="I265" s="396">
        <f t="shared" si="51"/>
        <v>3142693.4764230242</v>
      </c>
      <c r="J265" s="466">
        <f t="shared" si="50"/>
        <v>22424719.652223874</v>
      </c>
      <c r="K265" s="434">
        <f t="shared" si="42"/>
        <v>54.949971564768902</v>
      </c>
      <c r="O265" s="423"/>
    </row>
    <row r="266" spans="1:15" x14ac:dyDescent="0.25">
      <c r="B266" s="476"/>
    </row>
  </sheetData>
  <pageMargins left="0.28000000000000003" right="0.2" top="0.25" bottom="0.25" header="0.5" footer="0.5"/>
  <pageSetup scale="74" orientation="landscape" horizontalDpi="4294967293" r:id="rId1"/>
  <headerFooter alignWithMargins="0">
    <oddHeader>&amp;CLake Pleasant Rollfoward</oddHeader>
    <oddFooter>&amp;L&amp;8&amp;F &amp;A &amp;D</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V223"/>
  <sheetViews>
    <sheetView zoomScaleNormal="100" workbookViewId="0">
      <selection activeCell="G23" sqref="G23"/>
    </sheetView>
  </sheetViews>
  <sheetFormatPr defaultColWidth="9.109375" defaultRowHeight="14.4" x14ac:dyDescent="0.3"/>
  <cols>
    <col min="1" max="1" width="4.44140625" style="216" customWidth="1"/>
    <col min="2" max="2" width="14.88671875" style="216" customWidth="1"/>
    <col min="3" max="3" width="13" style="216" customWidth="1"/>
    <col min="4" max="4" width="15.6640625" style="216" customWidth="1"/>
    <col min="5" max="5" width="13" style="216" customWidth="1"/>
    <col min="6" max="6" width="13.6640625" style="216" customWidth="1"/>
    <col min="7" max="10" width="13" style="216" customWidth="1"/>
    <col min="11" max="11" width="14.33203125" style="216" customWidth="1"/>
    <col min="12" max="15" width="13" style="216" customWidth="1"/>
    <col min="16" max="16" width="13.88671875" style="216" customWidth="1"/>
    <col min="17" max="17" width="15.44140625" style="216" customWidth="1"/>
    <col min="18" max="18" width="4.44140625" style="216" customWidth="1"/>
    <col min="19" max="19" width="18" style="216" customWidth="1"/>
    <col min="20" max="21" width="14.109375" style="216" customWidth="1"/>
    <col min="22" max="22" width="4.88671875" style="216" customWidth="1"/>
    <col min="23" max="16384" width="9.109375" style="216"/>
  </cols>
  <sheetData>
    <row r="1" spans="2:22" ht="15" thickBot="1" x14ac:dyDescent="0.35"/>
    <row r="2" spans="2:22" ht="15" thickBot="1" x14ac:dyDescent="0.35">
      <c r="B2" s="500" t="s">
        <v>416</v>
      </c>
      <c r="C2" s="501"/>
      <c r="D2" s="501"/>
      <c r="E2" s="501"/>
      <c r="F2" s="501"/>
      <c r="G2" s="501"/>
      <c r="H2" s="501"/>
      <c r="I2" s="496" t="s">
        <v>340</v>
      </c>
      <c r="J2" s="497"/>
      <c r="K2" s="498"/>
      <c r="L2" s="496" t="s">
        <v>341</v>
      </c>
      <c r="M2" s="497"/>
      <c r="N2" s="498"/>
      <c r="O2" s="496" t="s">
        <v>342</v>
      </c>
      <c r="P2" s="497"/>
      <c r="Q2" s="499"/>
      <c r="S2" s="502" t="s">
        <v>367</v>
      </c>
      <c r="T2" s="503"/>
      <c r="U2" s="503"/>
      <c r="V2" s="503"/>
    </row>
    <row r="3" spans="2:22" ht="15.6" thickTop="1" thickBot="1" x14ac:dyDescent="0.35">
      <c r="B3" s="222" t="s">
        <v>343</v>
      </c>
      <c r="C3" s="223" t="s">
        <v>344</v>
      </c>
      <c r="D3" s="223" t="s">
        <v>345</v>
      </c>
      <c r="E3" s="223" t="s">
        <v>346</v>
      </c>
      <c r="F3" s="224" t="s">
        <v>347</v>
      </c>
      <c r="G3" s="224" t="s">
        <v>348</v>
      </c>
      <c r="H3" s="225" t="s">
        <v>349</v>
      </c>
      <c r="I3" s="226" t="s">
        <v>343</v>
      </c>
      <c r="J3" s="227" t="s">
        <v>344</v>
      </c>
      <c r="K3" s="227" t="s">
        <v>345</v>
      </c>
      <c r="L3" s="226" t="s">
        <v>343</v>
      </c>
      <c r="M3" s="227" t="s">
        <v>344</v>
      </c>
      <c r="N3" s="227" t="s">
        <v>345</v>
      </c>
      <c r="O3" s="226" t="s">
        <v>343</v>
      </c>
      <c r="P3" s="227" t="s">
        <v>344</v>
      </c>
      <c r="Q3" s="228" t="s">
        <v>345</v>
      </c>
      <c r="S3" s="229" t="s">
        <v>350</v>
      </c>
    </row>
    <row r="4" spans="2:22" ht="15.6" thickTop="1" thickBot="1" x14ac:dyDescent="0.35">
      <c r="B4" s="230"/>
      <c r="C4" s="231" t="e">
        <f t="shared" ref="C4:C8" si="0">D4/B4</f>
        <v>#DIV/0!</v>
      </c>
      <c r="D4" s="232"/>
      <c r="E4" s="233" t="s">
        <v>351</v>
      </c>
      <c r="F4" s="233" t="s">
        <v>352</v>
      </c>
      <c r="G4" s="233" t="s">
        <v>353</v>
      </c>
      <c r="H4" s="229" t="s">
        <v>354</v>
      </c>
      <c r="I4" s="234"/>
      <c r="J4" s="235"/>
      <c r="K4" s="235"/>
      <c r="L4" s="236"/>
      <c r="M4" s="236"/>
      <c r="N4" s="236"/>
      <c r="O4" s="236"/>
      <c r="P4" s="236"/>
      <c r="Q4" s="237"/>
      <c r="S4" s="234">
        <f>'2022'!G32</f>
        <v>26040</v>
      </c>
      <c r="T4" s="235">
        <f>U4/S4</f>
        <v>57.037500000000001</v>
      </c>
      <c r="U4" s="235">
        <f>'2022'!G33</f>
        <v>1485256.5</v>
      </c>
    </row>
    <row r="5" spans="2:22" ht="15.6" thickTop="1" thickBot="1" x14ac:dyDescent="0.35">
      <c r="B5" s="230">
        <f>'2022'!J37</f>
        <v>143600</v>
      </c>
      <c r="C5" s="231">
        <f t="shared" si="0"/>
        <v>29.577674094707522</v>
      </c>
      <c r="D5" s="232">
        <f>'2022'!J38</f>
        <v>4247354</v>
      </c>
      <c r="E5" s="233" t="s">
        <v>351</v>
      </c>
      <c r="F5" s="233" t="s">
        <v>352</v>
      </c>
      <c r="G5" s="233" t="s">
        <v>355</v>
      </c>
      <c r="H5" s="229" t="s">
        <v>356</v>
      </c>
      <c r="I5" s="234">
        <f>SUM(B4:B5)</f>
        <v>143600</v>
      </c>
      <c r="J5" s="235">
        <f>K5/I5</f>
        <v>29.577674094707522</v>
      </c>
      <c r="K5" s="253">
        <f>SUM(D4:D5)</f>
        <v>4247354</v>
      </c>
      <c r="L5" s="236"/>
      <c r="M5" s="236"/>
      <c r="N5" s="236"/>
      <c r="O5" s="236"/>
      <c r="P5" s="236"/>
      <c r="Q5" s="237"/>
      <c r="S5" s="229" t="s">
        <v>11</v>
      </c>
    </row>
    <row r="6" spans="2:22" ht="15.6" thickTop="1" thickBot="1" x14ac:dyDescent="0.35">
      <c r="B6" s="242">
        <f>'2022'!X36</f>
        <v>32268</v>
      </c>
      <c r="C6" s="243">
        <f t="shared" si="0"/>
        <v>40</v>
      </c>
      <c r="D6" s="244">
        <f>'2022'!X37</f>
        <v>1290720</v>
      </c>
      <c r="E6" s="245" t="s">
        <v>351</v>
      </c>
      <c r="F6" s="245" t="s">
        <v>352</v>
      </c>
      <c r="G6" s="245" t="s">
        <v>357</v>
      </c>
      <c r="H6" s="246" t="s">
        <v>235</v>
      </c>
      <c r="I6" s="238"/>
      <c r="J6" s="239"/>
      <c r="K6" s="239"/>
      <c r="L6" s="239"/>
      <c r="M6" s="239"/>
      <c r="N6" s="239"/>
      <c r="O6" s="239"/>
      <c r="P6" s="239"/>
      <c r="Q6" s="240"/>
      <c r="S6" s="241"/>
    </row>
    <row r="7" spans="2:22" ht="15.6" thickTop="1" thickBot="1" x14ac:dyDescent="0.35">
      <c r="B7" s="242"/>
      <c r="C7" s="243" t="e">
        <f t="shared" si="0"/>
        <v>#DIV/0!</v>
      </c>
      <c r="D7" s="244"/>
      <c r="E7" s="245" t="s">
        <v>351</v>
      </c>
      <c r="F7" s="245" t="s">
        <v>352</v>
      </c>
      <c r="G7" s="245" t="s">
        <v>358</v>
      </c>
      <c r="H7" s="246" t="s">
        <v>235</v>
      </c>
      <c r="I7" s="238"/>
      <c r="J7" s="239"/>
      <c r="K7" s="239"/>
      <c r="L7" s="239"/>
      <c r="M7" s="239"/>
      <c r="N7" s="239"/>
      <c r="O7" s="239"/>
      <c r="P7" s="239"/>
      <c r="Q7" s="240"/>
      <c r="S7" s="234">
        <f>'2022'!F32</f>
        <v>5286.8343059999979</v>
      </c>
      <c r="T7" s="235">
        <f>U7/S7</f>
        <v>24.99</v>
      </c>
      <c r="U7" s="235">
        <f>'2022'!F33</f>
        <v>132117.98930693994</v>
      </c>
    </row>
    <row r="8" spans="2:22" ht="15.6" thickTop="1" thickBot="1" x14ac:dyDescent="0.35">
      <c r="B8" s="242"/>
      <c r="C8" s="243" t="e">
        <f t="shared" si="0"/>
        <v>#DIV/0!</v>
      </c>
      <c r="D8" s="244"/>
      <c r="E8" s="245" t="s">
        <v>351</v>
      </c>
      <c r="F8" s="245" t="s">
        <v>352</v>
      </c>
      <c r="G8" s="245" t="s">
        <v>359</v>
      </c>
      <c r="H8" s="246" t="s">
        <v>235</v>
      </c>
      <c r="I8" s="234">
        <f>SUM(B6:B8)</f>
        <v>32268</v>
      </c>
      <c r="J8" s="235">
        <f>K8/I8</f>
        <v>40</v>
      </c>
      <c r="K8" s="235">
        <f>SUM(D6:D8)</f>
        <v>1290720</v>
      </c>
      <c r="L8" s="239"/>
      <c r="M8" s="239"/>
      <c r="N8" s="239"/>
      <c r="O8" s="239"/>
      <c r="P8" s="239"/>
      <c r="Q8" s="240"/>
      <c r="S8" s="229" t="s">
        <v>13</v>
      </c>
    </row>
    <row r="9" spans="2:22" ht="15.6" thickTop="1" thickBot="1" x14ac:dyDescent="0.35">
      <c r="B9" s="247"/>
      <c r="C9" s="248"/>
      <c r="D9" s="249"/>
      <c r="E9" s="250" t="s">
        <v>351</v>
      </c>
      <c r="F9" s="250" t="s">
        <v>360</v>
      </c>
      <c r="G9" s="250" t="s">
        <v>361</v>
      </c>
      <c r="H9" s="251" t="s">
        <v>235</v>
      </c>
      <c r="I9" s="252">
        <f>SUM(B4:B9)</f>
        <v>175868</v>
      </c>
      <c r="J9" s="253">
        <f>K9/I9</f>
        <v>31.489947005708828</v>
      </c>
      <c r="K9" s="253">
        <f>SUM(D4:D9)</f>
        <v>5538074</v>
      </c>
      <c r="L9" s="252"/>
      <c r="M9" s="253" t="e">
        <f>N9/L9</f>
        <v>#DIV/0!</v>
      </c>
      <c r="N9" s="253"/>
      <c r="O9" s="252">
        <f>I9+L9</f>
        <v>175868</v>
      </c>
      <c r="P9" s="253">
        <f>Q9/O9</f>
        <v>31.489947005708828</v>
      </c>
      <c r="Q9" s="254">
        <f>K9+N9</f>
        <v>5538074</v>
      </c>
      <c r="S9" s="234">
        <f>'2022'!H32</f>
        <v>7280</v>
      </c>
      <c r="T9" s="235">
        <f>U9/S9</f>
        <v>43.87</v>
      </c>
      <c r="U9" s="235">
        <f>'2022'!H33</f>
        <v>319373.59999999998</v>
      </c>
    </row>
    <row r="10" spans="2:22" ht="15.6" thickTop="1" thickBot="1" x14ac:dyDescent="0.35">
      <c r="B10" s="255"/>
      <c r="C10" s="256" t="e">
        <f>D10/B10</f>
        <v>#DIV/0!</v>
      </c>
      <c r="D10" s="257"/>
      <c r="E10" s="258" t="s">
        <v>362</v>
      </c>
      <c r="F10" s="258" t="s">
        <v>352</v>
      </c>
      <c r="G10" s="258" t="s">
        <v>355</v>
      </c>
      <c r="H10" s="259" t="s">
        <v>356</v>
      </c>
      <c r="I10" s="260"/>
      <c r="J10" s="261"/>
      <c r="K10" s="261"/>
      <c r="L10" s="260"/>
      <c r="M10" s="261"/>
      <c r="N10" s="261"/>
      <c r="O10" s="260"/>
      <c r="P10" s="261"/>
      <c r="Q10" s="262"/>
      <c r="S10" s="301">
        <f>SUM(O9,S4,S7,S9)</f>
        <v>214474.834306</v>
      </c>
      <c r="T10" s="58">
        <f>U10/S10</f>
        <v>34.851744324661908</v>
      </c>
      <c r="U10" s="253">
        <f>Q9+U9+U7+U4</f>
        <v>7474822.0893069394</v>
      </c>
      <c r="V10" s="216" t="s">
        <v>162</v>
      </c>
    </row>
    <row r="11" spans="2:22" ht="15.6" thickTop="1" thickBot="1" x14ac:dyDescent="0.35">
      <c r="B11" s="263">
        <f>'2022'!AG491</f>
        <v>51001</v>
      </c>
      <c r="C11" s="264">
        <f>D11/B11</f>
        <v>60</v>
      </c>
      <c r="D11" s="265">
        <f>'2022'!AI491</f>
        <v>3060060</v>
      </c>
      <c r="E11" s="266" t="s">
        <v>362</v>
      </c>
      <c r="F11" s="266" t="s">
        <v>352</v>
      </c>
      <c r="G11" s="266" t="s">
        <v>357</v>
      </c>
      <c r="H11" s="267" t="s">
        <v>235</v>
      </c>
      <c r="I11" s="260"/>
      <c r="J11" s="261"/>
      <c r="K11" s="261"/>
      <c r="L11" s="260"/>
      <c r="M11" s="261"/>
      <c r="N11" s="261"/>
      <c r="O11" s="260"/>
      <c r="P11" s="261"/>
      <c r="Q11" s="262"/>
      <c r="S11" s="301">
        <f>S10-O13</f>
        <v>163473.834306</v>
      </c>
      <c r="T11" s="58">
        <f>U11/S11</f>
        <v>27.005924881183898</v>
      </c>
      <c r="U11" s="253">
        <f>U10-Q13</f>
        <v>4414762.0893069394</v>
      </c>
      <c r="V11" s="216" t="s">
        <v>369</v>
      </c>
    </row>
    <row r="12" spans="2:22" ht="15.6" thickTop="1" thickBot="1" x14ac:dyDescent="0.35">
      <c r="B12" s="263"/>
      <c r="C12" s="264" t="e">
        <f>D12/B12</f>
        <v>#DIV/0!</v>
      </c>
      <c r="D12" s="265"/>
      <c r="E12" s="266" t="s">
        <v>362</v>
      </c>
      <c r="F12" s="266" t="s">
        <v>352</v>
      </c>
      <c r="G12" s="266" t="s">
        <v>358</v>
      </c>
      <c r="H12" s="267" t="s">
        <v>235</v>
      </c>
      <c r="I12" s="260"/>
      <c r="J12" s="261"/>
      <c r="K12" s="261"/>
      <c r="L12" s="260"/>
      <c r="M12" s="261"/>
      <c r="N12" s="261"/>
      <c r="O12" s="260"/>
      <c r="P12" s="261"/>
      <c r="Q12" s="262"/>
    </row>
    <row r="13" spans="2:22" ht="15.6" thickTop="1" thickBot="1" x14ac:dyDescent="0.35">
      <c r="B13" s="268"/>
      <c r="C13" s="269" t="e">
        <f>D13/B13</f>
        <v>#DIV/0!</v>
      </c>
      <c r="D13" s="270"/>
      <c r="E13" s="271" t="s">
        <v>362</v>
      </c>
      <c r="F13" s="271" t="s">
        <v>352</v>
      </c>
      <c r="G13" s="271" t="s">
        <v>359</v>
      </c>
      <c r="H13" s="272" t="s">
        <v>235</v>
      </c>
      <c r="I13" s="273">
        <f>SUM(B10:B13)</f>
        <v>51001</v>
      </c>
      <c r="J13" s="253">
        <f>K13/I13</f>
        <v>60</v>
      </c>
      <c r="K13" s="253">
        <f>SUM(D10:D13)</f>
        <v>3060060</v>
      </c>
      <c r="L13" s="252"/>
      <c r="M13" s="253" t="e">
        <f>N13/L13</f>
        <v>#DIV/0!</v>
      </c>
      <c r="N13" s="253"/>
      <c r="O13" s="252">
        <f>I13+L13</f>
        <v>51001</v>
      </c>
      <c r="P13" s="253">
        <f>Q13/O13</f>
        <v>60</v>
      </c>
      <c r="Q13" s="254">
        <f>K13+N13</f>
        <v>3060060</v>
      </c>
    </row>
    <row r="14" spans="2:22" ht="15" thickBot="1" x14ac:dyDescent="0.35">
      <c r="B14" s="274" t="s">
        <v>343</v>
      </c>
      <c r="C14" s="275" t="s">
        <v>344</v>
      </c>
      <c r="D14" s="275" t="s">
        <v>345</v>
      </c>
      <c r="E14" s="275" t="s">
        <v>346</v>
      </c>
      <c r="F14" s="276" t="s">
        <v>347</v>
      </c>
      <c r="G14" s="276" t="s">
        <v>348</v>
      </c>
      <c r="H14" s="277" t="s">
        <v>349</v>
      </c>
      <c r="I14" s="278">
        <f>I9-I13</f>
        <v>124867</v>
      </c>
      <c r="J14" s="279"/>
      <c r="K14" s="279"/>
      <c r="L14" s="279"/>
      <c r="M14" s="279"/>
      <c r="N14" s="279"/>
      <c r="O14" s="279"/>
      <c r="P14" s="279"/>
      <c r="Q14" s="279"/>
    </row>
    <row r="15" spans="2:22" ht="15.6" thickTop="1" thickBot="1" x14ac:dyDescent="0.35">
      <c r="B15" s="242"/>
      <c r="C15" s="243" t="e">
        <f>D15/B15</f>
        <v>#DIV/0!</v>
      </c>
      <c r="D15" s="244"/>
      <c r="E15" s="245" t="s">
        <v>351</v>
      </c>
      <c r="F15" s="245" t="s">
        <v>363</v>
      </c>
      <c r="G15" s="245" t="s">
        <v>357</v>
      </c>
      <c r="H15" s="280" t="s">
        <v>235</v>
      </c>
      <c r="I15" s="281" t="s">
        <v>364</v>
      </c>
      <c r="J15" s="279"/>
      <c r="K15" s="253">
        <f>(Q15/O15)*-1</f>
        <v>-19.845227321870471</v>
      </c>
      <c r="L15" s="279"/>
      <c r="M15" s="282" t="s">
        <v>365</v>
      </c>
      <c r="N15" s="253">
        <f>N9-N13</f>
        <v>0</v>
      </c>
      <c r="O15" s="252">
        <f>O9-O13</f>
        <v>124867</v>
      </c>
      <c r="P15" s="282" t="s">
        <v>366</v>
      </c>
      <c r="Q15" s="283">
        <f>Q9-Q13</f>
        <v>2478014</v>
      </c>
    </row>
    <row r="16" spans="2:22" ht="15" thickBot="1" x14ac:dyDescent="0.35">
      <c r="B16" s="284"/>
      <c r="C16" s="284"/>
      <c r="D16" s="284"/>
      <c r="E16" s="284"/>
      <c r="F16" s="284"/>
      <c r="G16" s="284"/>
      <c r="H16" s="284"/>
      <c r="I16" s="284"/>
      <c r="J16" s="284"/>
      <c r="K16" s="284"/>
      <c r="L16" s="284"/>
      <c r="M16" s="284"/>
      <c r="N16" s="284"/>
      <c r="O16" s="284"/>
      <c r="P16" s="284"/>
      <c r="Q16" s="284"/>
    </row>
    <row r="17" spans="2:22" ht="15" thickBot="1" x14ac:dyDescent="0.35">
      <c r="B17" s="500" t="s">
        <v>417</v>
      </c>
      <c r="C17" s="501"/>
      <c r="D17" s="501"/>
      <c r="E17" s="501"/>
      <c r="F17" s="501"/>
      <c r="G17" s="501"/>
      <c r="H17" s="501"/>
      <c r="I17" s="496" t="s">
        <v>340</v>
      </c>
      <c r="J17" s="497"/>
      <c r="K17" s="498"/>
      <c r="L17" s="496" t="s">
        <v>341</v>
      </c>
      <c r="M17" s="497"/>
      <c r="N17" s="498"/>
      <c r="O17" s="496" t="s">
        <v>342</v>
      </c>
      <c r="P17" s="497"/>
      <c r="Q17" s="499"/>
    </row>
    <row r="18" spans="2:22" ht="15.6" thickTop="1" thickBot="1" x14ac:dyDescent="0.35">
      <c r="B18" s="222" t="s">
        <v>343</v>
      </c>
      <c r="C18" s="223" t="s">
        <v>344</v>
      </c>
      <c r="D18" s="223" t="s">
        <v>345</v>
      </c>
      <c r="E18" s="223" t="s">
        <v>346</v>
      </c>
      <c r="F18" s="224" t="s">
        <v>347</v>
      </c>
      <c r="G18" s="224" t="s">
        <v>348</v>
      </c>
      <c r="H18" s="225" t="s">
        <v>349</v>
      </c>
      <c r="I18" s="226" t="s">
        <v>343</v>
      </c>
      <c r="J18" s="227" t="s">
        <v>344</v>
      </c>
      <c r="K18" s="227" t="s">
        <v>345</v>
      </c>
      <c r="L18" s="226" t="s">
        <v>343</v>
      </c>
      <c r="M18" s="227" t="s">
        <v>344</v>
      </c>
      <c r="N18" s="227" t="s">
        <v>345</v>
      </c>
      <c r="O18" s="226" t="s">
        <v>343</v>
      </c>
      <c r="P18" s="227" t="s">
        <v>344</v>
      </c>
      <c r="Q18" s="228" t="s">
        <v>345</v>
      </c>
      <c r="S18" s="229" t="s">
        <v>350</v>
      </c>
    </row>
    <row r="19" spans="2:22" ht="15.6" thickTop="1" thickBot="1" x14ac:dyDescent="0.35">
      <c r="B19" s="230"/>
      <c r="C19" s="231" t="e">
        <f t="shared" ref="C19:C23" si="1">D19/B19</f>
        <v>#DIV/0!</v>
      </c>
      <c r="D19" s="232"/>
      <c r="E19" s="233" t="s">
        <v>351</v>
      </c>
      <c r="F19" s="233" t="s">
        <v>352</v>
      </c>
      <c r="G19" s="233" t="s">
        <v>353</v>
      </c>
      <c r="H19" s="229" t="s">
        <v>354</v>
      </c>
      <c r="I19" s="234"/>
      <c r="J19" s="235"/>
      <c r="K19" s="235"/>
      <c r="L19" s="236"/>
      <c r="M19" s="236"/>
      <c r="N19" s="236"/>
      <c r="O19" s="236"/>
      <c r="P19" s="236"/>
      <c r="Q19" s="237"/>
      <c r="S19" s="234">
        <f>'2022'!G72</f>
        <v>23520</v>
      </c>
      <c r="T19" s="235">
        <f>U19/S19</f>
        <v>57.037500000000001</v>
      </c>
      <c r="U19" s="235">
        <f>'2022'!G73</f>
        <v>1341522</v>
      </c>
    </row>
    <row r="20" spans="2:22" ht="15.6" thickTop="1" thickBot="1" x14ac:dyDescent="0.35">
      <c r="B20" s="230">
        <f>'2022'!J77</f>
        <v>128000</v>
      </c>
      <c r="C20" s="231">
        <f t="shared" si="1"/>
        <v>29.651937499999999</v>
      </c>
      <c r="D20" s="232">
        <f>'2022'!J78</f>
        <v>3795448</v>
      </c>
      <c r="E20" s="233" t="s">
        <v>351</v>
      </c>
      <c r="F20" s="233" t="s">
        <v>352</v>
      </c>
      <c r="G20" s="233" t="s">
        <v>355</v>
      </c>
      <c r="H20" s="229" t="s">
        <v>356</v>
      </c>
      <c r="I20" s="234">
        <f>SUM(B17:B20)</f>
        <v>128000</v>
      </c>
      <c r="J20" s="235">
        <f>K20/I20</f>
        <v>29.651937499999999</v>
      </c>
      <c r="K20" s="235">
        <f>SUM(D17:D20)</f>
        <v>3795448</v>
      </c>
      <c r="L20" s="236"/>
      <c r="M20" s="236"/>
      <c r="N20" s="236"/>
      <c r="O20" s="236"/>
      <c r="P20" s="236"/>
      <c r="Q20" s="237"/>
      <c r="S20" s="229" t="s">
        <v>11</v>
      </c>
    </row>
    <row r="21" spans="2:22" ht="15.6" thickTop="1" thickBot="1" x14ac:dyDescent="0.35">
      <c r="B21" s="242">
        <f>'2022'!X76</f>
        <v>46781</v>
      </c>
      <c r="C21" s="243">
        <f t="shared" si="1"/>
        <v>40</v>
      </c>
      <c r="D21" s="244">
        <f>'2022'!X77</f>
        <v>1871240</v>
      </c>
      <c r="E21" s="245" t="s">
        <v>351</v>
      </c>
      <c r="F21" s="245" t="s">
        <v>352</v>
      </c>
      <c r="G21" s="245" t="s">
        <v>357</v>
      </c>
      <c r="H21" s="246" t="s">
        <v>235</v>
      </c>
      <c r="I21" s="238"/>
      <c r="J21" s="239"/>
      <c r="K21" s="239"/>
      <c r="L21" s="239"/>
      <c r="M21" s="239"/>
      <c r="N21" s="239"/>
      <c r="O21" s="239"/>
      <c r="P21" s="239"/>
      <c r="Q21" s="240"/>
      <c r="S21" s="241"/>
    </row>
    <row r="22" spans="2:22" ht="15.6" thickTop="1" thickBot="1" x14ac:dyDescent="0.35">
      <c r="B22" s="242"/>
      <c r="C22" s="243" t="e">
        <f t="shared" si="1"/>
        <v>#DIV/0!</v>
      </c>
      <c r="D22" s="244"/>
      <c r="E22" s="245" t="s">
        <v>351</v>
      </c>
      <c r="F22" s="245" t="s">
        <v>352</v>
      </c>
      <c r="G22" s="245" t="s">
        <v>358</v>
      </c>
      <c r="H22" s="246" t="s">
        <v>235</v>
      </c>
      <c r="I22" s="238"/>
      <c r="J22" s="239"/>
      <c r="K22" s="239"/>
      <c r="L22" s="239"/>
      <c r="M22" s="239"/>
      <c r="N22" s="239"/>
      <c r="O22" s="239"/>
      <c r="P22" s="239"/>
      <c r="Q22" s="240"/>
      <c r="S22" s="234">
        <f>'2022'!F72</f>
        <v>5951.8225430000002</v>
      </c>
      <c r="T22" s="235">
        <f>U22/S22</f>
        <v>24.99</v>
      </c>
      <c r="U22" s="235">
        <f>'2022'!F73</f>
        <v>148736.04534956999</v>
      </c>
    </row>
    <row r="23" spans="2:22" ht="15.6" thickTop="1" thickBot="1" x14ac:dyDescent="0.35">
      <c r="B23" s="242"/>
      <c r="C23" s="243" t="e">
        <f t="shared" si="1"/>
        <v>#DIV/0!</v>
      </c>
      <c r="D23" s="244"/>
      <c r="E23" s="245" t="s">
        <v>351</v>
      </c>
      <c r="F23" s="245" t="s">
        <v>352</v>
      </c>
      <c r="G23" s="245" t="s">
        <v>359</v>
      </c>
      <c r="H23" s="246" t="s">
        <v>235</v>
      </c>
      <c r="I23" s="234">
        <f>SUM(B21:B23)</f>
        <v>46781</v>
      </c>
      <c r="J23" s="235">
        <f>K23/I23</f>
        <v>40</v>
      </c>
      <c r="K23" s="235">
        <f>SUM(D21:D23)</f>
        <v>1871240</v>
      </c>
      <c r="L23" s="239"/>
      <c r="M23" s="239"/>
      <c r="N23" s="239"/>
      <c r="O23" s="239"/>
      <c r="P23" s="239"/>
      <c r="Q23" s="240"/>
      <c r="S23" s="229" t="s">
        <v>13</v>
      </c>
    </row>
    <row r="24" spans="2:22" ht="15.6" thickTop="1" thickBot="1" x14ac:dyDescent="0.35">
      <c r="B24" s="247"/>
      <c r="C24" s="248"/>
      <c r="D24" s="249"/>
      <c r="E24" s="250" t="s">
        <v>351</v>
      </c>
      <c r="F24" s="250" t="s">
        <v>360</v>
      </c>
      <c r="G24" s="250" t="s">
        <v>361</v>
      </c>
      <c r="H24" s="251" t="s">
        <v>235</v>
      </c>
      <c r="I24" s="252">
        <f>SUM(B20:B23)</f>
        <v>174781</v>
      </c>
      <c r="J24" s="253">
        <f>K24/I24</f>
        <v>32.421647661931217</v>
      </c>
      <c r="K24" s="253">
        <f>SUM(D20:D23)</f>
        <v>5666688</v>
      </c>
      <c r="L24" s="252"/>
      <c r="M24" s="253" t="e">
        <f>N24/L24</f>
        <v>#DIV/0!</v>
      </c>
      <c r="N24" s="253"/>
      <c r="O24" s="252">
        <f>I24+L24</f>
        <v>174781</v>
      </c>
      <c r="P24" s="253">
        <f>Q24/O24</f>
        <v>32.421647661931217</v>
      </c>
      <c r="Q24" s="254">
        <f>K24+N24</f>
        <v>5666688</v>
      </c>
      <c r="S24" s="234">
        <f>'2022'!H72</f>
        <v>7698</v>
      </c>
      <c r="T24" s="235">
        <f>U24/S24</f>
        <v>43.870000000000005</v>
      </c>
      <c r="U24" s="235">
        <f>'2022'!H73</f>
        <v>337711.26</v>
      </c>
    </row>
    <row r="25" spans="2:22" ht="15.6" thickTop="1" thickBot="1" x14ac:dyDescent="0.35">
      <c r="B25" s="255"/>
      <c r="C25" s="256" t="e">
        <f>D25/B25</f>
        <v>#DIV/0!</v>
      </c>
      <c r="D25" s="257"/>
      <c r="E25" s="258" t="s">
        <v>362</v>
      </c>
      <c r="F25" s="258" t="s">
        <v>352</v>
      </c>
      <c r="G25" s="258" t="s">
        <v>355</v>
      </c>
      <c r="H25" s="259" t="s">
        <v>356</v>
      </c>
      <c r="I25" s="260"/>
      <c r="J25" s="261"/>
      <c r="K25" s="261"/>
      <c r="L25" s="260"/>
      <c r="M25" s="261"/>
      <c r="N25" s="261"/>
      <c r="O25" s="260"/>
      <c r="P25" s="261"/>
      <c r="Q25" s="262"/>
      <c r="S25" s="301">
        <f>SUM(O24,S19,S22,S24)</f>
        <v>211950.82254299999</v>
      </c>
      <c r="T25" s="58">
        <f>U25/S25</f>
        <v>35.360359612801574</v>
      </c>
      <c r="U25" s="253">
        <f>Q24+U24+U22+U19</f>
        <v>7494657.3053495698</v>
      </c>
      <c r="V25" s="216" t="s">
        <v>162</v>
      </c>
    </row>
    <row r="26" spans="2:22" ht="15.6" thickTop="1" thickBot="1" x14ac:dyDescent="0.35">
      <c r="B26" s="263">
        <f>'2022'!AG492</f>
        <v>32413</v>
      </c>
      <c r="C26" s="264">
        <f>D26/B26</f>
        <v>55</v>
      </c>
      <c r="D26" s="265">
        <f>'2022'!AI492</f>
        <v>1782715</v>
      </c>
      <c r="E26" s="266" t="s">
        <v>362</v>
      </c>
      <c r="F26" s="266" t="s">
        <v>352</v>
      </c>
      <c r="G26" s="266" t="s">
        <v>357</v>
      </c>
      <c r="H26" s="267" t="s">
        <v>235</v>
      </c>
      <c r="I26" s="260"/>
      <c r="J26" s="261"/>
      <c r="K26" s="261"/>
      <c r="L26" s="260"/>
      <c r="M26" s="261"/>
      <c r="N26" s="261"/>
      <c r="O26" s="260"/>
      <c r="P26" s="261"/>
      <c r="Q26" s="262"/>
      <c r="S26" s="301">
        <f>S25-O28</f>
        <v>179537.82254299999</v>
      </c>
      <c r="T26" s="58">
        <f>U26/S26</f>
        <v>31.814701907624716</v>
      </c>
      <c r="U26" s="253">
        <f>U25-Q28</f>
        <v>5711942.3053495698</v>
      </c>
      <c r="V26" s="216" t="s">
        <v>369</v>
      </c>
    </row>
    <row r="27" spans="2:22" ht="15.6" thickTop="1" thickBot="1" x14ac:dyDescent="0.35">
      <c r="B27" s="263"/>
      <c r="C27" s="264" t="e">
        <f>D27/B27</f>
        <v>#DIV/0!</v>
      </c>
      <c r="D27" s="265"/>
      <c r="E27" s="266" t="s">
        <v>362</v>
      </c>
      <c r="F27" s="266" t="s">
        <v>352</v>
      </c>
      <c r="G27" s="266" t="s">
        <v>358</v>
      </c>
      <c r="H27" s="267" t="s">
        <v>235</v>
      </c>
      <c r="I27" s="260"/>
      <c r="J27" s="261"/>
      <c r="K27" s="261"/>
      <c r="L27" s="260"/>
      <c r="M27" s="261"/>
      <c r="N27" s="261"/>
      <c r="O27" s="260"/>
      <c r="P27" s="261"/>
      <c r="Q27" s="262"/>
    </row>
    <row r="28" spans="2:22" ht="15.6" thickTop="1" thickBot="1" x14ac:dyDescent="0.35">
      <c r="B28" s="268"/>
      <c r="C28" s="269" t="e">
        <f>D28/B28</f>
        <v>#DIV/0!</v>
      </c>
      <c r="D28" s="270"/>
      <c r="E28" s="271" t="s">
        <v>362</v>
      </c>
      <c r="F28" s="271" t="s">
        <v>352</v>
      </c>
      <c r="G28" s="271" t="s">
        <v>359</v>
      </c>
      <c r="H28" s="272" t="s">
        <v>235</v>
      </c>
      <c r="I28" s="273">
        <f>SUM(B26:B28)</f>
        <v>32413</v>
      </c>
      <c r="J28" s="253">
        <f>K28/I28</f>
        <v>55</v>
      </c>
      <c r="K28" s="253">
        <f>SUM(D25:D28)</f>
        <v>1782715</v>
      </c>
      <c r="L28" s="252"/>
      <c r="M28" s="253" t="e">
        <f>N28/L28</f>
        <v>#DIV/0!</v>
      </c>
      <c r="N28" s="253"/>
      <c r="O28" s="252">
        <f>I28+L28</f>
        <v>32413</v>
      </c>
      <c r="P28" s="253">
        <f>Q28/O28</f>
        <v>55</v>
      </c>
      <c r="Q28" s="254">
        <f>K28+N28</f>
        <v>1782715</v>
      </c>
    </row>
    <row r="29" spans="2:22" ht="15" thickBot="1" x14ac:dyDescent="0.35">
      <c r="B29" s="274" t="s">
        <v>343</v>
      </c>
      <c r="C29" s="275" t="s">
        <v>344</v>
      </c>
      <c r="D29" s="275" t="s">
        <v>345</v>
      </c>
      <c r="E29" s="275" t="s">
        <v>346</v>
      </c>
      <c r="F29" s="276" t="s">
        <v>347</v>
      </c>
      <c r="G29" s="276" t="s">
        <v>348</v>
      </c>
      <c r="H29" s="277" t="s">
        <v>349</v>
      </c>
      <c r="I29" s="278">
        <f>I24-I28</f>
        <v>142368</v>
      </c>
      <c r="J29" s="279"/>
      <c r="K29" s="279"/>
      <c r="L29" s="279"/>
      <c r="M29" s="279"/>
      <c r="N29" s="279"/>
      <c r="O29" s="279"/>
      <c r="P29" s="279"/>
      <c r="Q29" s="279"/>
      <c r="S29" s="229"/>
    </row>
    <row r="30" spans="2:22" ht="15.6" thickTop="1" thickBot="1" x14ac:dyDescent="0.35">
      <c r="B30" s="242"/>
      <c r="C30" s="243" t="e">
        <f>D30/B30</f>
        <v>#DIV/0!</v>
      </c>
      <c r="D30" s="244"/>
      <c r="E30" s="245" t="s">
        <v>351</v>
      </c>
      <c r="F30" s="245" t="s">
        <v>363</v>
      </c>
      <c r="G30" s="245" t="s">
        <v>357</v>
      </c>
      <c r="H30" s="280" t="s">
        <v>235</v>
      </c>
      <c r="I30" s="281" t="s">
        <v>364</v>
      </c>
      <c r="J30" s="279"/>
      <c r="K30" s="253">
        <f>(Q30/O30)*-1</f>
        <v>-27.281221903798606</v>
      </c>
      <c r="L30" s="279"/>
      <c r="M30" s="282" t="s">
        <v>365</v>
      </c>
      <c r="N30" s="253">
        <f>N24-N28</f>
        <v>0</v>
      </c>
      <c r="O30" s="252">
        <f>O24-O28</f>
        <v>142368</v>
      </c>
      <c r="P30" s="282" t="s">
        <v>366</v>
      </c>
      <c r="Q30" s="283">
        <f>Q24-Q28</f>
        <v>3883973</v>
      </c>
      <c r="S30" s="253"/>
    </row>
    <row r="31" spans="2:22" ht="15" thickBot="1" x14ac:dyDescent="0.35">
      <c r="B31" s="284"/>
      <c r="C31" s="284"/>
      <c r="D31" s="284"/>
      <c r="E31" s="284"/>
      <c r="F31" s="284"/>
      <c r="G31" s="284"/>
      <c r="H31" s="284"/>
      <c r="I31" s="284"/>
      <c r="J31" s="284"/>
      <c r="K31" s="284"/>
      <c r="L31" s="284"/>
      <c r="M31" s="284"/>
      <c r="N31" s="284"/>
      <c r="O31" s="284"/>
      <c r="P31" s="284"/>
      <c r="Q31" s="284"/>
    </row>
    <row r="32" spans="2:22" ht="15" thickBot="1" x14ac:dyDescent="0.35">
      <c r="B32" s="500" t="s">
        <v>418</v>
      </c>
      <c r="C32" s="501"/>
      <c r="D32" s="501"/>
      <c r="E32" s="501"/>
      <c r="F32" s="501"/>
      <c r="G32" s="501"/>
      <c r="H32" s="501"/>
      <c r="I32" s="496" t="s">
        <v>340</v>
      </c>
      <c r="J32" s="497"/>
      <c r="K32" s="498"/>
      <c r="L32" s="496" t="s">
        <v>341</v>
      </c>
      <c r="M32" s="497"/>
      <c r="N32" s="498"/>
      <c r="O32" s="496" t="s">
        <v>342</v>
      </c>
      <c r="P32" s="497"/>
      <c r="Q32" s="499"/>
    </row>
    <row r="33" spans="2:22" ht="15.6" thickTop="1" thickBot="1" x14ac:dyDescent="0.35">
      <c r="B33" s="222" t="s">
        <v>343</v>
      </c>
      <c r="C33" s="223" t="s">
        <v>344</v>
      </c>
      <c r="D33" s="223" t="s">
        <v>345</v>
      </c>
      <c r="E33" s="223" t="s">
        <v>346</v>
      </c>
      <c r="F33" s="224" t="s">
        <v>347</v>
      </c>
      <c r="G33" s="224" t="s">
        <v>348</v>
      </c>
      <c r="H33" s="225" t="s">
        <v>349</v>
      </c>
      <c r="I33" s="226" t="s">
        <v>343</v>
      </c>
      <c r="J33" s="227" t="s">
        <v>344</v>
      </c>
      <c r="K33" s="227" t="s">
        <v>345</v>
      </c>
      <c r="L33" s="226" t="s">
        <v>343</v>
      </c>
      <c r="M33" s="227" t="s">
        <v>344</v>
      </c>
      <c r="N33" s="227" t="s">
        <v>345</v>
      </c>
      <c r="O33" s="226" t="s">
        <v>343</v>
      </c>
      <c r="P33" s="227" t="s">
        <v>344</v>
      </c>
      <c r="Q33" s="228" t="s">
        <v>345</v>
      </c>
      <c r="S33" s="229" t="s">
        <v>350</v>
      </c>
    </row>
    <row r="34" spans="2:22" ht="15.6" thickTop="1" thickBot="1" x14ac:dyDescent="0.35">
      <c r="B34" s="230"/>
      <c r="C34" s="231" t="e">
        <f t="shared" ref="C34:C35" si="2">D34/B34</f>
        <v>#DIV/0!</v>
      </c>
      <c r="D34" s="232"/>
      <c r="E34" s="233" t="s">
        <v>351</v>
      </c>
      <c r="F34" s="233" t="s">
        <v>352</v>
      </c>
      <c r="G34" s="233" t="s">
        <v>353</v>
      </c>
      <c r="H34" s="229" t="s">
        <v>354</v>
      </c>
      <c r="I34" s="234"/>
      <c r="J34" s="235"/>
      <c r="K34" s="235"/>
      <c r="L34" s="236"/>
      <c r="M34" s="236"/>
      <c r="N34" s="236"/>
      <c r="O34" s="236"/>
      <c r="P34" s="236"/>
      <c r="Q34" s="237"/>
      <c r="S34" s="234">
        <f>'2022'!G112</f>
        <v>26040</v>
      </c>
      <c r="T34" s="235">
        <f>U34/S34</f>
        <v>48.782418750000005</v>
      </c>
      <c r="U34" s="235">
        <f>'2022'!G113</f>
        <v>1270294.1842500002</v>
      </c>
    </row>
    <row r="35" spans="2:22" ht="15.6" thickTop="1" thickBot="1" x14ac:dyDescent="0.35">
      <c r="B35" s="230">
        <f>'2022'!J117</f>
        <v>141200</v>
      </c>
      <c r="C35" s="231">
        <f t="shared" si="2"/>
        <v>29.672535410764873</v>
      </c>
      <c r="D35" s="232">
        <f>'2022'!J118</f>
        <v>4189762</v>
      </c>
      <c r="E35" s="233" t="s">
        <v>351</v>
      </c>
      <c r="F35" s="233" t="s">
        <v>352</v>
      </c>
      <c r="G35" s="233" t="s">
        <v>355</v>
      </c>
      <c r="H35" s="229" t="s">
        <v>356</v>
      </c>
      <c r="I35" s="234">
        <f>SUM(B34:B35)</f>
        <v>141200</v>
      </c>
      <c r="J35" s="235">
        <f>K35/I35</f>
        <v>29.672535410764873</v>
      </c>
      <c r="K35" s="235">
        <f>SUM(D34:D35)</f>
        <v>4189762</v>
      </c>
      <c r="L35" s="236"/>
      <c r="M35" s="236"/>
      <c r="N35" s="236"/>
      <c r="O35" s="236"/>
      <c r="P35" s="236"/>
      <c r="Q35" s="237"/>
      <c r="S35" s="229" t="s">
        <v>11</v>
      </c>
    </row>
    <row r="36" spans="2:22" ht="15.6" thickTop="1" thickBot="1" x14ac:dyDescent="0.35">
      <c r="B36" s="242">
        <f>'2022'!X116</f>
        <v>81920</v>
      </c>
      <c r="C36" s="243">
        <f t="shared" ref="C36" si="3">D36/B36</f>
        <v>35</v>
      </c>
      <c r="D36" s="244">
        <f>'2022'!X117</f>
        <v>2867200</v>
      </c>
      <c r="E36" s="245" t="s">
        <v>351</v>
      </c>
      <c r="F36" s="245" t="s">
        <v>352</v>
      </c>
      <c r="G36" s="245" t="s">
        <v>357</v>
      </c>
      <c r="H36" s="246" t="s">
        <v>235</v>
      </c>
      <c r="I36" s="238"/>
      <c r="J36" s="239"/>
      <c r="K36" s="239"/>
      <c r="L36" s="239"/>
      <c r="M36" s="239"/>
      <c r="N36" s="239"/>
      <c r="O36" s="239"/>
      <c r="P36" s="239"/>
      <c r="Q36" s="240"/>
      <c r="S36" s="241"/>
    </row>
    <row r="37" spans="2:22" ht="15.6" thickTop="1" thickBot="1" x14ac:dyDescent="0.35">
      <c r="B37" s="242"/>
      <c r="C37" s="243" t="e">
        <f>D37/B37</f>
        <v>#DIV/0!</v>
      </c>
      <c r="D37" s="244"/>
      <c r="E37" s="245" t="s">
        <v>351</v>
      </c>
      <c r="F37" s="245" t="s">
        <v>352</v>
      </c>
      <c r="G37" s="245" t="s">
        <v>358</v>
      </c>
      <c r="H37" s="246" t="s">
        <v>235</v>
      </c>
      <c r="I37" s="238"/>
      <c r="J37" s="239"/>
      <c r="K37" s="239"/>
      <c r="L37" s="239"/>
      <c r="M37" s="239"/>
      <c r="N37" s="239"/>
      <c r="O37" s="239"/>
      <c r="P37" s="239"/>
      <c r="Q37" s="240"/>
      <c r="S37" s="234">
        <f>'2022'!F112</f>
        <v>7751.5789059999997</v>
      </c>
      <c r="T37" s="235">
        <f>U37/S37</f>
        <v>24.99</v>
      </c>
      <c r="U37" s="235">
        <f>'2022'!F113</f>
        <v>193711.95686093997</v>
      </c>
    </row>
    <row r="38" spans="2:22" ht="15.6" thickTop="1" thickBot="1" x14ac:dyDescent="0.35">
      <c r="B38" s="242"/>
      <c r="C38" s="243" t="e">
        <f>D38/B38</f>
        <v>#DIV/0!</v>
      </c>
      <c r="D38" s="244"/>
      <c r="E38" s="245" t="s">
        <v>351</v>
      </c>
      <c r="F38" s="245" t="s">
        <v>352</v>
      </c>
      <c r="G38" s="245" t="s">
        <v>359</v>
      </c>
      <c r="H38" s="246" t="s">
        <v>235</v>
      </c>
      <c r="I38" s="234">
        <f>SUM(B36:B38)</f>
        <v>81920</v>
      </c>
      <c r="J38" s="235">
        <f>K38/I38</f>
        <v>35</v>
      </c>
      <c r="K38" s="235">
        <f>SUM(D36:D38)</f>
        <v>2867200</v>
      </c>
      <c r="L38" s="239"/>
      <c r="M38" s="239"/>
      <c r="N38" s="239"/>
      <c r="O38" s="239"/>
      <c r="P38" s="239"/>
      <c r="Q38" s="240"/>
      <c r="S38" s="229" t="s">
        <v>13</v>
      </c>
    </row>
    <row r="39" spans="2:22" ht="15.6" thickTop="1" thickBot="1" x14ac:dyDescent="0.35">
      <c r="B39" s="247"/>
      <c r="C39" s="248"/>
      <c r="D39" s="249"/>
      <c r="E39" s="250" t="s">
        <v>351</v>
      </c>
      <c r="F39" s="250" t="s">
        <v>360</v>
      </c>
      <c r="G39" s="250" t="s">
        <v>361</v>
      </c>
      <c r="H39" s="251" t="s">
        <v>235</v>
      </c>
      <c r="I39" s="252">
        <f>SUM(B34:B39)</f>
        <v>223120</v>
      </c>
      <c r="J39" s="253">
        <f>K39/I39</f>
        <v>31.62854965937612</v>
      </c>
      <c r="K39" s="253">
        <f>SUM(D34:D39)</f>
        <v>7056962</v>
      </c>
      <c r="L39" s="252"/>
      <c r="M39" s="253"/>
      <c r="N39" s="253"/>
      <c r="O39" s="252">
        <f>I39+L39</f>
        <v>223120</v>
      </c>
      <c r="P39" s="253">
        <f>Q39/O39</f>
        <v>31.62854965937612</v>
      </c>
      <c r="Q39" s="254">
        <f>K39+(N39-N43)</f>
        <v>7056962</v>
      </c>
      <c r="S39" s="234">
        <f>'2022'!H112</f>
        <v>13033</v>
      </c>
      <c r="T39" s="235">
        <f>U39/S39</f>
        <v>43.87</v>
      </c>
      <c r="U39" s="235">
        <f>'2022'!H113</f>
        <v>571757.71</v>
      </c>
    </row>
    <row r="40" spans="2:22" ht="15.6" thickTop="1" thickBot="1" x14ac:dyDescent="0.35">
      <c r="B40" s="255"/>
      <c r="C40" s="256" t="e">
        <f>D40/B40</f>
        <v>#DIV/0!</v>
      </c>
      <c r="D40" s="257"/>
      <c r="E40" s="258" t="s">
        <v>362</v>
      </c>
      <c r="F40" s="258" t="s">
        <v>352</v>
      </c>
      <c r="G40" s="258" t="s">
        <v>355</v>
      </c>
      <c r="H40" s="259" t="s">
        <v>356</v>
      </c>
      <c r="I40" s="260"/>
      <c r="J40" s="261"/>
      <c r="K40" s="261"/>
      <c r="L40" s="260"/>
      <c r="M40" s="261"/>
      <c r="N40" s="261"/>
      <c r="O40" s="260"/>
      <c r="P40" s="261"/>
      <c r="Q40" s="262"/>
      <c r="S40" s="301">
        <f>SUM(O39,S34,S37,S39)</f>
        <v>269944.57890600001</v>
      </c>
      <c r="T40" s="58">
        <f>U40/S40</f>
        <v>33.683676434477341</v>
      </c>
      <c r="U40" s="253">
        <f>Q39+U39+U37+U34</f>
        <v>9092725.8511109408</v>
      </c>
      <c r="V40" s="216" t="s">
        <v>162</v>
      </c>
    </row>
    <row r="41" spans="2:22" ht="15.6" thickTop="1" thickBot="1" x14ac:dyDescent="0.35">
      <c r="B41" s="242">
        <f>'2022'!AG493</f>
        <v>22426</v>
      </c>
      <c r="C41" s="243">
        <f>D41/B41</f>
        <v>50</v>
      </c>
      <c r="D41" s="244">
        <f>'2022'!AI493</f>
        <v>1121300</v>
      </c>
      <c r="E41" s="266" t="s">
        <v>362</v>
      </c>
      <c r="F41" s="266" t="s">
        <v>352</v>
      </c>
      <c r="G41" s="266" t="s">
        <v>357</v>
      </c>
      <c r="H41" s="267" t="s">
        <v>235</v>
      </c>
      <c r="I41" s="260"/>
      <c r="J41" s="261"/>
      <c r="K41" s="261"/>
      <c r="L41" s="260"/>
      <c r="M41" s="261"/>
      <c r="N41" s="261"/>
      <c r="O41" s="260"/>
      <c r="P41" s="261"/>
      <c r="Q41" s="262"/>
      <c r="S41" s="301">
        <f>S40-O43</f>
        <v>247518.57890600001</v>
      </c>
      <c r="T41" s="58">
        <f>U41/S41</f>
        <v>32.205363679541179</v>
      </c>
      <c r="U41" s="253">
        <f>U40-Q43</f>
        <v>7971425.8511109408</v>
      </c>
      <c r="V41" s="216" t="s">
        <v>369</v>
      </c>
    </row>
    <row r="42" spans="2:22" ht="15.6" thickTop="1" thickBot="1" x14ac:dyDescent="0.35">
      <c r="B42" s="263"/>
      <c r="C42" s="264" t="e">
        <f>D42/B42</f>
        <v>#DIV/0!</v>
      </c>
      <c r="D42" s="265"/>
      <c r="E42" s="266" t="s">
        <v>362</v>
      </c>
      <c r="F42" s="266" t="s">
        <v>352</v>
      </c>
      <c r="G42" s="266" t="s">
        <v>358</v>
      </c>
      <c r="H42" s="267" t="s">
        <v>235</v>
      </c>
      <c r="I42" s="260"/>
      <c r="J42" s="261"/>
      <c r="K42" s="261"/>
      <c r="L42" s="260"/>
      <c r="M42" s="261"/>
      <c r="N42" s="261"/>
      <c r="O42" s="260"/>
      <c r="P42" s="261"/>
      <c r="Q42" s="262"/>
    </row>
    <row r="43" spans="2:22" ht="15.6" thickTop="1" thickBot="1" x14ac:dyDescent="0.35">
      <c r="B43" s="268"/>
      <c r="C43" s="269" t="e">
        <f>D43/B43</f>
        <v>#DIV/0!</v>
      </c>
      <c r="D43" s="270"/>
      <c r="E43" s="271" t="s">
        <v>362</v>
      </c>
      <c r="F43" s="271" t="s">
        <v>352</v>
      </c>
      <c r="G43" s="271" t="s">
        <v>359</v>
      </c>
      <c r="H43" s="272" t="s">
        <v>235</v>
      </c>
      <c r="I43" s="273">
        <f>SUM(B40:B43)</f>
        <v>22426</v>
      </c>
      <c r="J43" s="253">
        <f>K43/I43</f>
        <v>50</v>
      </c>
      <c r="K43" s="253">
        <f>SUM(D40:D43)</f>
        <v>1121300</v>
      </c>
      <c r="L43" s="252"/>
      <c r="M43" s="253"/>
      <c r="N43" s="253"/>
      <c r="O43" s="252">
        <f>I43+L43</f>
        <v>22426</v>
      </c>
      <c r="P43" s="253">
        <f>Q43/O43</f>
        <v>50</v>
      </c>
      <c r="Q43" s="254">
        <f>K43</f>
        <v>1121300</v>
      </c>
    </row>
    <row r="44" spans="2:22" ht="15" thickBot="1" x14ac:dyDescent="0.35">
      <c r="B44" s="274" t="s">
        <v>343</v>
      </c>
      <c r="C44" s="275" t="s">
        <v>344</v>
      </c>
      <c r="D44" s="275" t="s">
        <v>345</v>
      </c>
      <c r="E44" s="275" t="s">
        <v>346</v>
      </c>
      <c r="F44" s="276" t="s">
        <v>347</v>
      </c>
      <c r="G44" s="276" t="s">
        <v>348</v>
      </c>
      <c r="H44" s="277" t="s">
        <v>349</v>
      </c>
      <c r="I44" s="278">
        <f>I39-I43</f>
        <v>200694</v>
      </c>
      <c r="J44" s="279"/>
      <c r="K44" s="279"/>
      <c r="L44" s="279"/>
      <c r="M44" s="279"/>
      <c r="N44" s="279"/>
      <c r="O44" s="279"/>
      <c r="P44" s="279"/>
      <c r="Q44" s="279"/>
      <c r="S44" s="229"/>
    </row>
    <row r="45" spans="2:22" ht="15.6" thickTop="1" thickBot="1" x14ac:dyDescent="0.35">
      <c r="B45" s="242"/>
      <c r="C45" s="243" t="e">
        <f>D45/B45</f>
        <v>#DIV/0!</v>
      </c>
      <c r="D45" s="244"/>
      <c r="E45" s="245" t="s">
        <v>351</v>
      </c>
      <c r="F45" s="245" t="s">
        <v>363</v>
      </c>
      <c r="G45" s="245" t="s">
        <v>357</v>
      </c>
      <c r="H45" s="280" t="s">
        <v>235</v>
      </c>
      <c r="I45" s="281" t="s">
        <v>364</v>
      </c>
      <c r="J45" s="279"/>
      <c r="K45" s="253">
        <f>(Q45/O45)*-1</f>
        <v>-29.575682382133994</v>
      </c>
      <c r="L45" s="279"/>
      <c r="M45" s="282" t="s">
        <v>365</v>
      </c>
      <c r="N45" s="253">
        <f>N39-N43</f>
        <v>0</v>
      </c>
      <c r="O45" s="252">
        <f>O39-O43</f>
        <v>200694</v>
      </c>
      <c r="P45" s="282" t="s">
        <v>366</v>
      </c>
      <c r="Q45" s="283">
        <f>Q39-Q43</f>
        <v>5935662</v>
      </c>
      <c r="S45" s="253"/>
    </row>
    <row r="46" spans="2:22" ht="15" thickBot="1" x14ac:dyDescent="0.35">
      <c r="B46" s="284"/>
      <c r="C46" s="284"/>
      <c r="D46" s="284"/>
      <c r="E46" s="284"/>
      <c r="F46" s="284"/>
      <c r="G46" s="284"/>
      <c r="H46" s="284"/>
      <c r="I46" s="284"/>
      <c r="J46" s="284"/>
      <c r="K46" s="284"/>
      <c r="L46" s="284"/>
      <c r="M46" s="284"/>
      <c r="N46" s="284"/>
      <c r="O46" s="284"/>
      <c r="P46" s="284"/>
      <c r="Q46" s="284"/>
    </row>
    <row r="47" spans="2:22" ht="15" thickBot="1" x14ac:dyDescent="0.35">
      <c r="B47" s="500" t="s">
        <v>368</v>
      </c>
      <c r="C47" s="501"/>
      <c r="D47" s="501"/>
      <c r="E47" s="501"/>
      <c r="F47" s="501"/>
      <c r="G47" s="501"/>
      <c r="H47" s="501"/>
      <c r="I47" s="496" t="s">
        <v>340</v>
      </c>
      <c r="J47" s="497"/>
      <c r="K47" s="498"/>
      <c r="L47" s="496" t="s">
        <v>341</v>
      </c>
      <c r="M47" s="497"/>
      <c r="N47" s="498"/>
      <c r="O47" s="496" t="s">
        <v>342</v>
      </c>
      <c r="P47" s="497"/>
      <c r="Q47" s="499"/>
    </row>
    <row r="48" spans="2:22" ht="15.6" thickTop="1" thickBot="1" x14ac:dyDescent="0.35">
      <c r="B48" s="222" t="s">
        <v>343</v>
      </c>
      <c r="C48" s="223" t="s">
        <v>344</v>
      </c>
      <c r="D48" s="223" t="s">
        <v>345</v>
      </c>
      <c r="E48" s="223" t="s">
        <v>346</v>
      </c>
      <c r="F48" s="224" t="s">
        <v>347</v>
      </c>
      <c r="G48" s="224" t="s">
        <v>348</v>
      </c>
      <c r="H48" s="225" t="s">
        <v>349</v>
      </c>
      <c r="I48" s="226" t="s">
        <v>343</v>
      </c>
      <c r="J48" s="227" t="s">
        <v>344</v>
      </c>
      <c r="K48" s="227" t="s">
        <v>345</v>
      </c>
      <c r="L48" s="226" t="s">
        <v>343</v>
      </c>
      <c r="M48" s="227" t="s">
        <v>344</v>
      </c>
      <c r="N48" s="227" t="s">
        <v>345</v>
      </c>
      <c r="O48" s="226" t="s">
        <v>343</v>
      </c>
      <c r="P48" s="227" t="s">
        <v>344</v>
      </c>
      <c r="Q48" s="228" t="s">
        <v>345</v>
      </c>
      <c r="S48" s="229" t="s">
        <v>350</v>
      </c>
    </row>
    <row r="49" spans="2:22" ht="15.6" thickTop="1" thickBot="1" x14ac:dyDescent="0.35">
      <c r="B49" s="230"/>
      <c r="C49" s="231" t="e">
        <f>D49/B49</f>
        <v>#DIV/0!</v>
      </c>
      <c r="D49" s="232"/>
      <c r="E49" s="233" t="s">
        <v>351</v>
      </c>
      <c r="F49" s="233" t="s">
        <v>352</v>
      </c>
      <c r="G49" s="233" t="s">
        <v>353</v>
      </c>
      <c r="H49" s="229" t="s">
        <v>354</v>
      </c>
      <c r="I49" s="234"/>
      <c r="J49" s="235"/>
      <c r="K49" s="235"/>
      <c r="L49" s="236"/>
      <c r="M49" s="236"/>
      <c r="N49" s="236"/>
      <c r="O49" s="236"/>
      <c r="P49" s="236"/>
      <c r="Q49" s="237"/>
      <c r="S49" s="234">
        <f>'2022'!G152</f>
        <v>25200</v>
      </c>
      <c r="T49" s="235">
        <f>U49/S49</f>
        <v>42.492262499999995</v>
      </c>
      <c r="U49" s="235">
        <f>'2022'!G153</f>
        <v>1070805.0149999999</v>
      </c>
    </row>
    <row r="50" spans="2:22" ht="15.6" thickTop="1" thickBot="1" x14ac:dyDescent="0.35">
      <c r="B50" s="230">
        <f>'2022'!J157</f>
        <v>61600</v>
      </c>
      <c r="C50" s="231">
        <f>D50/B50</f>
        <v>23.402987012987012</v>
      </c>
      <c r="D50" s="232">
        <f>'2022'!J158</f>
        <v>1441624</v>
      </c>
      <c r="E50" s="233" t="s">
        <v>351</v>
      </c>
      <c r="F50" s="233" t="s">
        <v>352</v>
      </c>
      <c r="G50" s="233" t="s">
        <v>355</v>
      </c>
      <c r="H50" s="229" t="s">
        <v>356</v>
      </c>
      <c r="I50" s="234">
        <f>SUM(B49:B50)</f>
        <v>61600</v>
      </c>
      <c r="J50" s="235">
        <f>K50/I50</f>
        <v>23.402987012987012</v>
      </c>
      <c r="K50" s="235">
        <f>SUM(D49:D50)</f>
        <v>1441624</v>
      </c>
      <c r="L50" s="236"/>
      <c r="M50" s="236"/>
      <c r="N50" s="236"/>
      <c r="O50" s="236"/>
      <c r="P50" s="236"/>
      <c r="Q50" s="237"/>
      <c r="S50" s="229" t="s">
        <v>11</v>
      </c>
    </row>
    <row r="51" spans="2:22" ht="15.6" thickTop="1" thickBot="1" x14ac:dyDescent="0.35">
      <c r="B51" s="242">
        <f>'2022'!X156</f>
        <v>145226</v>
      </c>
      <c r="C51" s="243">
        <f>D51/B51</f>
        <v>35</v>
      </c>
      <c r="D51" s="244">
        <f>'2022'!X157</f>
        <v>5082910</v>
      </c>
      <c r="E51" s="245" t="s">
        <v>351</v>
      </c>
      <c r="F51" s="245" t="s">
        <v>352</v>
      </c>
      <c r="G51" s="245" t="s">
        <v>357</v>
      </c>
      <c r="H51" s="246" t="s">
        <v>235</v>
      </c>
      <c r="I51" s="238"/>
      <c r="J51" s="239"/>
      <c r="K51" s="239"/>
      <c r="L51" s="239"/>
      <c r="M51" s="239"/>
      <c r="N51" s="239"/>
      <c r="O51" s="239"/>
      <c r="P51" s="239"/>
      <c r="Q51" s="240"/>
      <c r="S51" s="241"/>
    </row>
    <row r="52" spans="2:22" ht="15.6" thickTop="1" thickBot="1" x14ac:dyDescent="0.35">
      <c r="B52" s="242"/>
      <c r="C52" s="243" t="e">
        <f>D52/B52</f>
        <v>#DIV/0!</v>
      </c>
      <c r="D52" s="244"/>
      <c r="E52" s="245" t="s">
        <v>351</v>
      </c>
      <c r="F52" s="245" t="s">
        <v>352</v>
      </c>
      <c r="G52" s="245" t="s">
        <v>358</v>
      </c>
      <c r="H52" s="246" t="s">
        <v>235</v>
      </c>
      <c r="I52" s="238"/>
      <c r="J52" s="239"/>
      <c r="K52" s="239"/>
      <c r="L52" s="239"/>
      <c r="M52" s="239"/>
      <c r="N52" s="239"/>
      <c r="O52" s="239"/>
      <c r="P52" s="239"/>
      <c r="Q52" s="240"/>
      <c r="S52" s="234">
        <f>'2022'!F152</f>
        <v>8924.4084060000005</v>
      </c>
      <c r="T52" s="235">
        <f>U52/S52</f>
        <v>24.99</v>
      </c>
      <c r="U52" s="235">
        <f>'2022'!F153</f>
        <v>223020.96606594001</v>
      </c>
    </row>
    <row r="53" spans="2:22" ht="15.6" thickTop="1" thickBot="1" x14ac:dyDescent="0.35">
      <c r="B53" s="242"/>
      <c r="C53" s="243" t="e">
        <f>D53/B53</f>
        <v>#DIV/0!</v>
      </c>
      <c r="D53" s="244"/>
      <c r="E53" s="245" t="s">
        <v>351</v>
      </c>
      <c r="F53" s="245" t="s">
        <v>352</v>
      </c>
      <c r="G53" s="245" t="s">
        <v>359</v>
      </c>
      <c r="H53" s="246" t="s">
        <v>235</v>
      </c>
      <c r="I53" s="234">
        <f>SUM(B51:B53)</f>
        <v>145226</v>
      </c>
      <c r="J53" s="235">
        <f>K53/I53</f>
        <v>35</v>
      </c>
      <c r="K53" s="235">
        <f>SUM(D51:D53)</f>
        <v>5082910</v>
      </c>
      <c r="L53" s="239"/>
      <c r="M53" s="239"/>
      <c r="N53" s="239"/>
      <c r="O53" s="239"/>
      <c r="P53" s="239"/>
      <c r="Q53" s="240"/>
      <c r="S53" s="229" t="s">
        <v>13</v>
      </c>
    </row>
    <row r="54" spans="2:22" ht="15.6" thickTop="1" thickBot="1" x14ac:dyDescent="0.35">
      <c r="B54" s="247"/>
      <c r="C54" s="248"/>
      <c r="D54" s="249"/>
      <c r="E54" s="250" t="s">
        <v>351</v>
      </c>
      <c r="F54" s="250" t="s">
        <v>360</v>
      </c>
      <c r="G54" s="250" t="s">
        <v>361</v>
      </c>
      <c r="H54" s="251" t="s">
        <v>235</v>
      </c>
      <c r="I54" s="252">
        <f>SUM(B49:B54)</f>
        <v>206826</v>
      </c>
      <c r="J54" s="253">
        <f>K54/I54</f>
        <v>31.546004854321989</v>
      </c>
      <c r="K54" s="253">
        <f>SUM(D49:D54)</f>
        <v>6524534</v>
      </c>
      <c r="L54" s="252"/>
      <c r="M54" s="253"/>
      <c r="N54" s="253"/>
      <c r="O54" s="252">
        <f>I54+L54</f>
        <v>206826</v>
      </c>
      <c r="P54" s="253">
        <f>Q54/O54</f>
        <v>31.546004854321989</v>
      </c>
      <c r="Q54" s="254">
        <f>K54+(N54-N58)</f>
        <v>6524534</v>
      </c>
      <c r="S54" s="234">
        <f>'2022'!H152</f>
        <v>13808</v>
      </c>
      <c r="T54" s="235">
        <f>U54/S54</f>
        <v>43.87</v>
      </c>
      <c r="U54" s="235">
        <f>'2022'!H153</f>
        <v>605756.96</v>
      </c>
    </row>
    <row r="55" spans="2:22" ht="15.6" thickTop="1" thickBot="1" x14ac:dyDescent="0.35">
      <c r="B55" s="255"/>
      <c r="C55" s="256" t="e">
        <f>D55/B55</f>
        <v>#DIV/0!</v>
      </c>
      <c r="D55" s="257"/>
      <c r="E55" s="258" t="s">
        <v>362</v>
      </c>
      <c r="F55" s="258" t="s">
        <v>352</v>
      </c>
      <c r="G55" s="258" t="s">
        <v>355</v>
      </c>
      <c r="H55" s="259" t="s">
        <v>356</v>
      </c>
      <c r="I55" s="260"/>
      <c r="J55" s="261"/>
      <c r="K55" s="261"/>
      <c r="L55" s="260"/>
      <c r="M55" s="261"/>
      <c r="N55" s="261"/>
      <c r="O55" s="260"/>
      <c r="P55" s="261"/>
      <c r="Q55" s="262"/>
      <c r="S55" s="301">
        <f>SUM(O54,S49,S52,S54)</f>
        <v>254758.408406</v>
      </c>
      <c r="T55" s="58">
        <f>U55/S55</f>
        <v>33.067081058383387</v>
      </c>
      <c r="U55" s="253">
        <f>Q54+U54+U52+U49</f>
        <v>8424116.941065941</v>
      </c>
      <c r="V55" s="216" t="s">
        <v>162</v>
      </c>
    </row>
    <row r="56" spans="2:22" ht="15.6" thickTop="1" thickBot="1" x14ac:dyDescent="0.35">
      <c r="B56" s="263">
        <f>'2022'!AG494</f>
        <v>5136</v>
      </c>
      <c r="C56" s="264">
        <f>D56/B56</f>
        <v>45</v>
      </c>
      <c r="D56" s="265">
        <f>'2022'!AI494</f>
        <v>231120</v>
      </c>
      <c r="E56" s="266" t="s">
        <v>362</v>
      </c>
      <c r="F56" s="266" t="s">
        <v>352</v>
      </c>
      <c r="G56" s="266" t="s">
        <v>357</v>
      </c>
      <c r="H56" s="267" t="s">
        <v>235</v>
      </c>
      <c r="I56" s="260"/>
      <c r="J56" s="261"/>
      <c r="K56" s="261"/>
      <c r="L56" s="260"/>
      <c r="M56" s="261"/>
      <c r="N56" s="261"/>
      <c r="O56" s="260"/>
      <c r="P56" s="261"/>
      <c r="Q56" s="262"/>
      <c r="S56" s="301">
        <f>S55-O58</f>
        <v>249622.408406</v>
      </c>
      <c r="T56" s="58">
        <f>U56/S56</f>
        <v>32.821560345417339</v>
      </c>
      <c r="U56" s="253">
        <f>U55-Q58</f>
        <v>8192996.941065941</v>
      </c>
      <c r="V56" s="216" t="s">
        <v>369</v>
      </c>
    </row>
    <row r="57" spans="2:22" ht="15.6" thickTop="1" thickBot="1" x14ac:dyDescent="0.35">
      <c r="B57" s="263"/>
      <c r="C57" s="264" t="e">
        <f>D57/B57</f>
        <v>#DIV/0!</v>
      </c>
      <c r="D57" s="265"/>
      <c r="E57" s="266" t="s">
        <v>362</v>
      </c>
      <c r="F57" s="266" t="s">
        <v>352</v>
      </c>
      <c r="G57" s="266" t="s">
        <v>358</v>
      </c>
      <c r="H57" s="267" t="s">
        <v>235</v>
      </c>
      <c r="I57" s="260"/>
      <c r="J57" s="261"/>
      <c r="K57" s="261"/>
      <c r="L57" s="260"/>
      <c r="M57" s="261"/>
      <c r="N57" s="261"/>
      <c r="O57" s="260"/>
      <c r="P57" s="261"/>
      <c r="Q57" s="262"/>
    </row>
    <row r="58" spans="2:22" ht="15.6" thickTop="1" thickBot="1" x14ac:dyDescent="0.35">
      <c r="B58" s="268"/>
      <c r="C58" s="269" t="e">
        <f>D58/B58</f>
        <v>#DIV/0!</v>
      </c>
      <c r="D58" s="270"/>
      <c r="E58" s="271" t="s">
        <v>362</v>
      </c>
      <c r="F58" s="271" t="s">
        <v>352</v>
      </c>
      <c r="G58" s="271" t="s">
        <v>359</v>
      </c>
      <c r="H58" s="272" t="s">
        <v>235</v>
      </c>
      <c r="I58" s="273">
        <f>SUM(B55:B58)</f>
        <v>5136</v>
      </c>
      <c r="J58" s="253">
        <f>K58/I58</f>
        <v>45</v>
      </c>
      <c r="K58" s="253">
        <f>'2022'!AE494</f>
        <v>231120</v>
      </c>
      <c r="L58" s="252"/>
      <c r="M58" s="253"/>
      <c r="N58" s="253"/>
      <c r="O58" s="252">
        <f>I58+L58</f>
        <v>5136</v>
      </c>
      <c r="P58" s="253">
        <f>Q58/O58</f>
        <v>45</v>
      </c>
      <c r="Q58" s="254">
        <f>K58</f>
        <v>231120</v>
      </c>
    </row>
    <row r="59" spans="2:22" ht="15" thickBot="1" x14ac:dyDescent="0.35">
      <c r="B59" s="274" t="s">
        <v>343</v>
      </c>
      <c r="C59" s="275" t="s">
        <v>344</v>
      </c>
      <c r="D59" s="275" t="s">
        <v>345</v>
      </c>
      <c r="E59" s="275" t="s">
        <v>346</v>
      </c>
      <c r="F59" s="276" t="s">
        <v>347</v>
      </c>
      <c r="G59" s="276" t="s">
        <v>348</v>
      </c>
      <c r="H59" s="277" t="s">
        <v>349</v>
      </c>
      <c r="I59" s="278">
        <f>I54-I58</f>
        <v>201690</v>
      </c>
      <c r="J59" s="279"/>
      <c r="K59" s="279"/>
      <c r="L59" s="279"/>
      <c r="M59" s="279"/>
      <c r="N59" s="279"/>
      <c r="O59" s="279"/>
      <c r="P59" s="279"/>
      <c r="Q59" s="279"/>
    </row>
    <row r="60" spans="2:22" ht="15.6" thickTop="1" thickBot="1" x14ac:dyDescent="0.35">
      <c r="B60" s="242"/>
      <c r="C60" s="243" t="e">
        <f>D60/B60</f>
        <v>#DIV/0!</v>
      </c>
      <c r="D60" s="244"/>
      <c r="E60" s="245" t="s">
        <v>351</v>
      </c>
      <c r="F60" s="245" t="s">
        <v>363</v>
      </c>
      <c r="G60" s="245" t="s">
        <v>357</v>
      </c>
      <c r="H60" s="280" t="s">
        <v>235</v>
      </c>
      <c r="I60" s="281" t="s">
        <v>364</v>
      </c>
      <c r="J60" s="279"/>
      <c r="K60" s="253">
        <f>(Q60/O60)*-1</f>
        <v>-31.203401953492982</v>
      </c>
      <c r="L60" s="279"/>
      <c r="M60" s="282" t="s">
        <v>365</v>
      </c>
      <c r="N60" s="253">
        <f>N54-N58</f>
        <v>0</v>
      </c>
      <c r="O60" s="252">
        <f>O54-O58</f>
        <v>201690</v>
      </c>
      <c r="P60" s="282" t="s">
        <v>366</v>
      </c>
      <c r="Q60" s="283">
        <f>Q54-Q58+0.14</f>
        <v>6293414.1399999997</v>
      </c>
    </row>
    <row r="61" spans="2:22" ht="15" thickBot="1" x14ac:dyDescent="0.35">
      <c r="B61" s="284"/>
      <c r="C61" s="284"/>
      <c r="D61" s="284"/>
      <c r="E61" s="284"/>
      <c r="F61" s="284"/>
      <c r="G61" s="284"/>
      <c r="H61" s="284"/>
      <c r="I61" s="284"/>
      <c r="J61" s="284"/>
      <c r="K61" s="284"/>
      <c r="L61" s="284"/>
      <c r="M61" s="284"/>
      <c r="N61" s="284"/>
      <c r="O61" s="284"/>
      <c r="P61" s="284"/>
      <c r="Q61" s="284"/>
    </row>
    <row r="62" spans="2:22" ht="15" thickBot="1" x14ac:dyDescent="0.35">
      <c r="B62" s="500" t="s">
        <v>419</v>
      </c>
      <c r="C62" s="501"/>
      <c r="D62" s="501"/>
      <c r="E62" s="501"/>
      <c r="F62" s="501"/>
      <c r="G62" s="501"/>
      <c r="H62" s="501"/>
      <c r="I62" s="496" t="s">
        <v>340</v>
      </c>
      <c r="J62" s="497"/>
      <c r="K62" s="498"/>
      <c r="L62" s="496" t="s">
        <v>341</v>
      </c>
      <c r="M62" s="497"/>
      <c r="N62" s="498"/>
      <c r="O62" s="496" t="s">
        <v>342</v>
      </c>
      <c r="P62" s="497"/>
      <c r="Q62" s="499"/>
    </row>
    <row r="63" spans="2:22" ht="15.6" thickTop="1" thickBot="1" x14ac:dyDescent="0.35">
      <c r="B63" s="222" t="s">
        <v>343</v>
      </c>
      <c r="C63" s="223" t="s">
        <v>344</v>
      </c>
      <c r="D63" s="223" t="s">
        <v>345</v>
      </c>
      <c r="E63" s="223" t="s">
        <v>346</v>
      </c>
      <c r="F63" s="224" t="s">
        <v>347</v>
      </c>
      <c r="G63" s="224" t="s">
        <v>348</v>
      </c>
      <c r="H63" s="225" t="s">
        <v>349</v>
      </c>
      <c r="I63" s="226" t="s">
        <v>343</v>
      </c>
      <c r="J63" s="227" t="s">
        <v>344</v>
      </c>
      <c r="K63" s="227" t="s">
        <v>345</v>
      </c>
      <c r="L63" s="226" t="s">
        <v>343</v>
      </c>
      <c r="M63" s="227" t="s">
        <v>344</v>
      </c>
      <c r="N63" s="227" t="s">
        <v>345</v>
      </c>
      <c r="O63" s="226" t="s">
        <v>343</v>
      </c>
      <c r="P63" s="227" t="s">
        <v>344</v>
      </c>
      <c r="Q63" s="228" t="s">
        <v>345</v>
      </c>
      <c r="S63" s="229" t="s">
        <v>350</v>
      </c>
    </row>
    <row r="64" spans="2:22" ht="15.6" thickTop="1" thickBot="1" x14ac:dyDescent="0.35">
      <c r="B64" s="230"/>
      <c r="C64" s="231" t="e">
        <f t="shared" ref="C64:C65" si="4">D64/B64</f>
        <v>#DIV/0!</v>
      </c>
      <c r="D64" s="232"/>
      <c r="E64" s="233" t="s">
        <v>351</v>
      </c>
      <c r="F64" s="233" t="s">
        <v>352</v>
      </c>
      <c r="G64" s="233" t="s">
        <v>353</v>
      </c>
      <c r="H64" s="229" t="s">
        <v>354</v>
      </c>
      <c r="I64" s="234"/>
      <c r="J64" s="235"/>
      <c r="K64" s="235"/>
      <c r="L64" s="236"/>
      <c r="M64" s="236"/>
      <c r="N64" s="236"/>
      <c r="O64" s="236"/>
      <c r="P64" s="236"/>
      <c r="Q64" s="237"/>
      <c r="S64" s="234">
        <f>'2022'!G192</f>
        <v>26040</v>
      </c>
      <c r="T64" s="235">
        <f>U64/S64</f>
        <v>41.589675000000007</v>
      </c>
      <c r="U64" s="235">
        <f>'2022'!G193</f>
        <v>1082995.1370000001</v>
      </c>
    </row>
    <row r="65" spans="2:22" ht="15.6" thickTop="1" thickBot="1" x14ac:dyDescent="0.35">
      <c r="B65" s="230">
        <f>'2022'!J197</f>
        <v>64400</v>
      </c>
      <c r="C65" s="231">
        <f t="shared" si="4"/>
        <v>23.259068322981367</v>
      </c>
      <c r="D65" s="232">
        <f>'2022'!J198</f>
        <v>1497884</v>
      </c>
      <c r="E65" s="233" t="s">
        <v>351</v>
      </c>
      <c r="F65" s="233" t="s">
        <v>352</v>
      </c>
      <c r="G65" s="233" t="s">
        <v>355</v>
      </c>
      <c r="H65" s="229" t="s">
        <v>356</v>
      </c>
      <c r="I65" s="234">
        <f>SUM(B64:B65)</f>
        <v>64400</v>
      </c>
      <c r="J65" s="235">
        <f>K65/I65</f>
        <v>23.259068322981367</v>
      </c>
      <c r="K65" s="235">
        <f>SUM(D64:D65)</f>
        <v>1497884</v>
      </c>
      <c r="L65" s="236"/>
      <c r="M65" s="236"/>
      <c r="N65" s="236"/>
      <c r="O65" s="236"/>
      <c r="P65" s="236"/>
      <c r="Q65" s="237"/>
      <c r="S65" s="229" t="s">
        <v>11</v>
      </c>
    </row>
    <row r="66" spans="2:22" ht="15.6" thickTop="1" thickBot="1" x14ac:dyDescent="0.35">
      <c r="B66" s="242">
        <f>'2022'!X196</f>
        <v>161668</v>
      </c>
      <c r="C66" s="243">
        <f>D66/B66</f>
        <v>35</v>
      </c>
      <c r="D66" s="244">
        <f>'2022'!X197</f>
        <v>5658380</v>
      </c>
      <c r="E66" s="245" t="s">
        <v>351</v>
      </c>
      <c r="F66" s="245" t="s">
        <v>352</v>
      </c>
      <c r="G66" s="245" t="s">
        <v>357</v>
      </c>
      <c r="H66" s="246" t="s">
        <v>235</v>
      </c>
      <c r="I66" s="238"/>
      <c r="J66" s="239"/>
      <c r="K66" s="239"/>
      <c r="L66" s="239"/>
      <c r="M66" s="239"/>
      <c r="N66" s="239"/>
      <c r="O66" s="239"/>
      <c r="P66" s="239"/>
      <c r="Q66" s="240"/>
      <c r="S66" s="241"/>
    </row>
    <row r="67" spans="2:22" ht="15.6" thickTop="1" thickBot="1" x14ac:dyDescent="0.35">
      <c r="B67" s="242"/>
      <c r="C67" s="243" t="e">
        <f t="shared" ref="C67" si="5">D67/B67</f>
        <v>#DIV/0!</v>
      </c>
      <c r="D67" s="244"/>
      <c r="E67" s="245" t="s">
        <v>351</v>
      </c>
      <c r="F67" s="245" t="s">
        <v>352</v>
      </c>
      <c r="G67" s="245" t="s">
        <v>358</v>
      </c>
      <c r="H67" s="246" t="s">
        <v>235</v>
      </c>
      <c r="I67" s="238"/>
      <c r="J67" s="239"/>
      <c r="K67" s="239"/>
      <c r="L67" s="239"/>
      <c r="M67" s="239"/>
      <c r="N67" s="239"/>
      <c r="O67" s="239"/>
      <c r="P67" s="239"/>
      <c r="Q67" s="240"/>
      <c r="S67" s="234">
        <f>'2022'!F192</f>
        <v>10217.633232</v>
      </c>
      <c r="T67" s="235">
        <f>U67/S67</f>
        <v>24.99</v>
      </c>
      <c r="U67" s="235">
        <f>'2022'!F193</f>
        <v>255338.65446768</v>
      </c>
    </row>
    <row r="68" spans="2:22" ht="15.6" thickTop="1" thickBot="1" x14ac:dyDescent="0.35">
      <c r="B68" s="242"/>
      <c r="C68" s="243" t="e">
        <f>D68/B68</f>
        <v>#DIV/0!</v>
      </c>
      <c r="D68" s="244"/>
      <c r="E68" s="245" t="s">
        <v>351</v>
      </c>
      <c r="F68" s="245" t="s">
        <v>352</v>
      </c>
      <c r="G68" s="245" t="s">
        <v>359</v>
      </c>
      <c r="H68" s="246" t="s">
        <v>235</v>
      </c>
      <c r="I68" s="234">
        <f>SUM(B66:B68)</f>
        <v>161668</v>
      </c>
      <c r="J68" s="235">
        <f>K68/I68</f>
        <v>35</v>
      </c>
      <c r="K68" s="235">
        <f>SUM(D66:D68)</f>
        <v>5658380</v>
      </c>
      <c r="L68" s="239"/>
      <c r="M68" s="239"/>
      <c r="N68" s="239"/>
      <c r="O68" s="239"/>
      <c r="P68" s="239"/>
      <c r="Q68" s="240"/>
      <c r="S68" s="229" t="s">
        <v>13</v>
      </c>
    </row>
    <row r="69" spans="2:22" ht="15.6" thickTop="1" thickBot="1" x14ac:dyDescent="0.35">
      <c r="B69" s="247"/>
      <c r="C69" s="248"/>
      <c r="D69" s="249"/>
      <c r="E69" s="250" t="s">
        <v>351</v>
      </c>
      <c r="F69" s="250" t="s">
        <v>360</v>
      </c>
      <c r="G69" s="250" t="s">
        <v>361</v>
      </c>
      <c r="H69" s="251" t="s">
        <v>235</v>
      </c>
      <c r="I69" s="252">
        <f>SUM(B64:B69)</f>
        <v>226068</v>
      </c>
      <c r="J69" s="253">
        <f>K69/I69</f>
        <v>31.655360334058777</v>
      </c>
      <c r="K69" s="253">
        <f>SUM(D64:D69)</f>
        <v>7156264</v>
      </c>
      <c r="L69" s="252"/>
      <c r="M69" s="253"/>
      <c r="N69" s="253"/>
      <c r="O69" s="252">
        <f>I69+L69</f>
        <v>226068</v>
      </c>
      <c r="P69" s="253">
        <f>Q69/O69</f>
        <v>31.655360334058777</v>
      </c>
      <c r="Q69" s="254">
        <f>K69+(N69-N73)</f>
        <v>7156264</v>
      </c>
      <c r="S69" s="234">
        <f>'2022'!H192</f>
        <v>13402</v>
      </c>
      <c r="T69" s="235">
        <f>U69/S69</f>
        <v>43.87</v>
      </c>
      <c r="U69" s="235">
        <f>'2022'!H193</f>
        <v>587945.74</v>
      </c>
    </row>
    <row r="70" spans="2:22" ht="15.6" thickTop="1" thickBot="1" x14ac:dyDescent="0.35">
      <c r="B70" s="255"/>
      <c r="C70" s="256" t="e">
        <f>D70/B70</f>
        <v>#DIV/0!</v>
      </c>
      <c r="D70" s="257"/>
      <c r="E70" s="258" t="s">
        <v>362</v>
      </c>
      <c r="F70" s="258" t="s">
        <v>352</v>
      </c>
      <c r="G70" s="258" t="s">
        <v>355</v>
      </c>
      <c r="H70" s="259" t="s">
        <v>356</v>
      </c>
      <c r="I70" s="260"/>
      <c r="J70" s="261"/>
      <c r="K70" s="261"/>
      <c r="L70" s="260"/>
      <c r="M70" s="261"/>
      <c r="N70" s="261"/>
      <c r="O70" s="260"/>
      <c r="P70" s="261"/>
      <c r="Q70" s="262"/>
      <c r="S70" s="301">
        <f>SUM(O69,S64,S67,S69)</f>
        <v>275727.63323199999</v>
      </c>
      <c r="T70" s="58">
        <f>U70/S70</f>
        <v>32.940273069495127</v>
      </c>
      <c r="U70" s="253">
        <f>Q69+U69+U67+U64</f>
        <v>9082543.5314676799</v>
      </c>
      <c r="V70" s="216" t="s">
        <v>162</v>
      </c>
    </row>
    <row r="71" spans="2:22" ht="15.6" thickTop="1" thickBot="1" x14ac:dyDescent="0.35">
      <c r="B71" s="263">
        <f>'2022'!AG495</f>
        <v>4356</v>
      </c>
      <c r="C71" s="264">
        <f>D71/B71</f>
        <v>45</v>
      </c>
      <c r="D71" s="265">
        <f>'2022'!AI495</f>
        <v>196020</v>
      </c>
      <c r="E71" s="266" t="s">
        <v>362</v>
      </c>
      <c r="F71" s="266" t="s">
        <v>352</v>
      </c>
      <c r="G71" s="266" t="s">
        <v>357</v>
      </c>
      <c r="H71" s="267" t="s">
        <v>235</v>
      </c>
      <c r="I71" s="260"/>
      <c r="J71" s="261"/>
      <c r="K71" s="261"/>
      <c r="L71" s="260"/>
      <c r="M71" s="261"/>
      <c r="N71" s="261"/>
      <c r="O71" s="260"/>
      <c r="P71" s="261"/>
      <c r="Q71" s="262"/>
      <c r="S71" s="301">
        <f>S70-O73</f>
        <v>271371.63323199999</v>
      </c>
      <c r="T71" s="58">
        <f>U71/S71</f>
        <v>32.746692886173726</v>
      </c>
      <c r="U71" s="253">
        <f>U70-Q73</f>
        <v>8886523.5314676799</v>
      </c>
      <c r="V71" s="216" t="s">
        <v>369</v>
      </c>
    </row>
    <row r="72" spans="2:22" ht="15.6" thickTop="1" thickBot="1" x14ac:dyDescent="0.35">
      <c r="B72" s="263"/>
      <c r="C72" s="264" t="e">
        <f>D72/B72</f>
        <v>#DIV/0!</v>
      </c>
      <c r="D72" s="265"/>
      <c r="E72" s="266" t="s">
        <v>362</v>
      </c>
      <c r="F72" s="266" t="s">
        <v>352</v>
      </c>
      <c r="G72" s="266" t="s">
        <v>358</v>
      </c>
      <c r="H72" s="267" t="s">
        <v>235</v>
      </c>
      <c r="I72" s="260"/>
      <c r="J72" s="261"/>
      <c r="K72" s="261"/>
      <c r="L72" s="260"/>
      <c r="M72" s="261"/>
      <c r="N72" s="261"/>
      <c r="O72" s="260"/>
      <c r="P72" s="261"/>
      <c r="Q72" s="262"/>
    </row>
    <row r="73" spans="2:22" ht="15.6" thickTop="1" thickBot="1" x14ac:dyDescent="0.35">
      <c r="B73" s="268"/>
      <c r="C73" s="269" t="e">
        <f>D73/B73</f>
        <v>#DIV/0!</v>
      </c>
      <c r="D73" s="270"/>
      <c r="E73" s="271" t="s">
        <v>362</v>
      </c>
      <c r="F73" s="271" t="s">
        <v>352</v>
      </c>
      <c r="G73" s="271" t="s">
        <v>359</v>
      </c>
      <c r="H73" s="272" t="s">
        <v>235</v>
      </c>
      <c r="I73" s="273">
        <f>SUM(B70:B73)</f>
        <v>4356</v>
      </c>
      <c r="J73" s="253">
        <f>K73/I73</f>
        <v>45</v>
      </c>
      <c r="K73" s="253">
        <f>SUM(D70:D73)</f>
        <v>196020</v>
      </c>
      <c r="L73" s="252"/>
      <c r="M73" s="253"/>
      <c r="N73" s="253"/>
      <c r="O73" s="252">
        <f>I73+L73</f>
        <v>4356</v>
      </c>
      <c r="P73" s="253">
        <f>Q73/O73</f>
        <v>45</v>
      </c>
      <c r="Q73" s="254">
        <f>K73</f>
        <v>196020</v>
      </c>
    </row>
    <row r="74" spans="2:22" ht="15" thickBot="1" x14ac:dyDescent="0.35">
      <c r="B74" s="274" t="s">
        <v>343</v>
      </c>
      <c r="C74" s="275" t="s">
        <v>344</v>
      </c>
      <c r="D74" s="275" t="s">
        <v>345</v>
      </c>
      <c r="E74" s="275" t="s">
        <v>346</v>
      </c>
      <c r="F74" s="276" t="s">
        <v>347</v>
      </c>
      <c r="G74" s="276" t="s">
        <v>348</v>
      </c>
      <c r="H74" s="277" t="s">
        <v>349</v>
      </c>
      <c r="I74" s="278">
        <f>I69-I73</f>
        <v>221712</v>
      </c>
      <c r="J74" s="279"/>
      <c r="K74" s="279"/>
      <c r="L74" s="279"/>
      <c r="M74" s="279"/>
      <c r="N74" s="279"/>
      <c r="O74" s="279"/>
      <c r="P74" s="279"/>
      <c r="Q74" s="279"/>
    </row>
    <row r="75" spans="2:22" ht="15.6" thickTop="1" thickBot="1" x14ac:dyDescent="0.35">
      <c r="B75" s="242"/>
      <c r="C75" s="243" t="e">
        <f>D75/B75</f>
        <v>#DIV/0!</v>
      </c>
      <c r="D75" s="244"/>
      <c r="E75" s="245" t="s">
        <v>351</v>
      </c>
      <c r="F75" s="245" t="s">
        <v>363</v>
      </c>
      <c r="G75" s="245" t="s">
        <v>357</v>
      </c>
      <c r="H75" s="280" t="s">
        <v>235</v>
      </c>
      <c r="I75" s="281" t="s">
        <v>364</v>
      </c>
      <c r="J75" s="279"/>
      <c r="K75" s="253">
        <f>(Q75/O75)*-1</f>
        <v>-31.393176733780759</v>
      </c>
      <c r="L75" s="279"/>
      <c r="M75" s="282" t="s">
        <v>365</v>
      </c>
      <c r="N75" s="253">
        <f>N69-N73</f>
        <v>0</v>
      </c>
      <c r="O75" s="252">
        <f>O69-O73</f>
        <v>221712</v>
      </c>
      <c r="P75" s="282" t="s">
        <v>366</v>
      </c>
      <c r="Q75" s="283">
        <f>Q69-Q73</f>
        <v>6960244</v>
      </c>
    </row>
    <row r="76" spans="2:22" ht="15" thickBot="1" x14ac:dyDescent="0.35">
      <c r="B76" s="284"/>
      <c r="C76" s="284"/>
      <c r="D76" s="284"/>
      <c r="E76" s="284"/>
      <c r="F76" s="284"/>
      <c r="G76" s="284"/>
      <c r="H76" s="284"/>
      <c r="I76" s="284"/>
      <c r="J76" s="284"/>
      <c r="K76" s="284"/>
      <c r="L76" s="284"/>
      <c r="M76" s="284"/>
      <c r="N76" s="284"/>
      <c r="O76" s="284"/>
      <c r="P76" s="284"/>
      <c r="Q76" s="284"/>
    </row>
    <row r="77" spans="2:22" ht="15" thickBot="1" x14ac:dyDescent="0.35">
      <c r="B77" s="500" t="s">
        <v>420</v>
      </c>
      <c r="C77" s="501"/>
      <c r="D77" s="501"/>
      <c r="E77" s="501"/>
      <c r="F77" s="501"/>
      <c r="G77" s="501"/>
      <c r="H77" s="501"/>
      <c r="I77" s="496" t="s">
        <v>340</v>
      </c>
      <c r="J77" s="497"/>
      <c r="K77" s="498"/>
      <c r="L77" s="496" t="s">
        <v>341</v>
      </c>
      <c r="M77" s="497"/>
      <c r="N77" s="498"/>
      <c r="O77" s="496" t="s">
        <v>342</v>
      </c>
      <c r="P77" s="497"/>
      <c r="Q77" s="499"/>
    </row>
    <row r="78" spans="2:22" ht="15.6" thickTop="1" thickBot="1" x14ac:dyDescent="0.35">
      <c r="B78" s="222" t="s">
        <v>343</v>
      </c>
      <c r="C78" s="223" t="s">
        <v>344</v>
      </c>
      <c r="D78" s="223" t="s">
        <v>345</v>
      </c>
      <c r="E78" s="223" t="s">
        <v>346</v>
      </c>
      <c r="F78" s="224" t="s">
        <v>347</v>
      </c>
      <c r="G78" s="224" t="s">
        <v>348</v>
      </c>
      <c r="H78" s="225" t="s">
        <v>349</v>
      </c>
      <c r="I78" s="226" t="s">
        <v>343</v>
      </c>
      <c r="J78" s="227" t="s">
        <v>344</v>
      </c>
      <c r="K78" s="227" t="s">
        <v>345</v>
      </c>
      <c r="L78" s="226" t="s">
        <v>343</v>
      </c>
      <c r="M78" s="227" t="s">
        <v>344</v>
      </c>
      <c r="N78" s="227" t="s">
        <v>345</v>
      </c>
      <c r="O78" s="226" t="s">
        <v>343</v>
      </c>
      <c r="P78" s="227" t="s">
        <v>344</v>
      </c>
      <c r="Q78" s="228" t="s">
        <v>345</v>
      </c>
      <c r="S78" s="229" t="s">
        <v>350</v>
      </c>
    </row>
    <row r="79" spans="2:22" ht="15.6" thickTop="1" thickBot="1" x14ac:dyDescent="0.35">
      <c r="B79" s="230"/>
      <c r="C79" s="231" t="e">
        <f>D79/B79</f>
        <v>#DIV/0!</v>
      </c>
      <c r="D79" s="232"/>
      <c r="E79" s="233" t="s">
        <v>351</v>
      </c>
      <c r="F79" s="233" t="s">
        <v>352</v>
      </c>
      <c r="G79" s="233" t="s">
        <v>353</v>
      </c>
      <c r="H79" s="229" t="s">
        <v>354</v>
      </c>
      <c r="I79" s="234"/>
      <c r="J79" s="235"/>
      <c r="K79" s="235"/>
      <c r="L79" s="236"/>
      <c r="M79" s="236"/>
      <c r="N79" s="236"/>
      <c r="O79" s="236"/>
      <c r="P79" s="236"/>
      <c r="Q79" s="237"/>
      <c r="S79" s="234">
        <f>'2022'!G233</f>
        <v>25200</v>
      </c>
      <c r="T79" s="235">
        <f>U79/S79</f>
        <v>42.021000000000001</v>
      </c>
      <c r="U79" s="235">
        <f>'2022'!G234</f>
        <v>1058929.2</v>
      </c>
    </row>
    <row r="80" spans="2:22" ht="15.6" thickTop="1" thickBot="1" x14ac:dyDescent="0.35">
      <c r="B80" s="230">
        <f>'2022'!J238</f>
        <v>61600</v>
      </c>
      <c r="C80" s="231">
        <f>D80/B80</f>
        <v>23.402987012987012</v>
      </c>
      <c r="D80" s="232">
        <f>'2022'!J239</f>
        <v>1441624</v>
      </c>
      <c r="E80" s="233" t="s">
        <v>351</v>
      </c>
      <c r="F80" s="233" t="s">
        <v>352</v>
      </c>
      <c r="G80" s="233" t="s">
        <v>355</v>
      </c>
      <c r="H80" s="229" t="s">
        <v>356</v>
      </c>
      <c r="I80" s="234">
        <f>SUM(B79:B80)</f>
        <v>61600</v>
      </c>
      <c r="J80" s="235">
        <f>K80/I80</f>
        <v>23.402987012987012</v>
      </c>
      <c r="K80" s="235">
        <f>SUM(D79:D80)</f>
        <v>1441624</v>
      </c>
      <c r="L80" s="236"/>
      <c r="M80" s="236"/>
      <c r="N80" s="236"/>
      <c r="O80" s="236"/>
      <c r="P80" s="236"/>
      <c r="Q80" s="237"/>
      <c r="S80" s="229" t="s">
        <v>11</v>
      </c>
    </row>
    <row r="81" spans="2:22" ht="15.6" thickTop="1" thickBot="1" x14ac:dyDescent="0.35">
      <c r="B81" s="242">
        <f>'2022'!X237</f>
        <v>35224</v>
      </c>
      <c r="C81" s="243">
        <f>D81/B81</f>
        <v>50</v>
      </c>
      <c r="D81" s="244">
        <f>'2022'!X238</f>
        <v>1761200</v>
      </c>
      <c r="E81" s="245" t="s">
        <v>351</v>
      </c>
      <c r="F81" s="245" t="s">
        <v>352</v>
      </c>
      <c r="G81" s="245" t="s">
        <v>357</v>
      </c>
      <c r="H81" s="246" t="s">
        <v>235</v>
      </c>
      <c r="I81" s="238"/>
      <c r="J81" s="239"/>
      <c r="K81" s="239"/>
      <c r="L81" s="239"/>
      <c r="M81" s="239"/>
      <c r="N81" s="239"/>
      <c r="O81" s="239"/>
      <c r="P81" s="239"/>
      <c r="Q81" s="240"/>
      <c r="S81" s="241"/>
    </row>
    <row r="82" spans="2:22" ht="15.6" thickTop="1" thickBot="1" x14ac:dyDescent="0.35">
      <c r="B82" s="242"/>
      <c r="C82" s="243" t="e">
        <f>D82/B82</f>
        <v>#DIV/0!</v>
      </c>
      <c r="D82" s="244"/>
      <c r="E82" s="245" t="s">
        <v>351</v>
      </c>
      <c r="F82" s="245" t="s">
        <v>352</v>
      </c>
      <c r="G82" s="245" t="s">
        <v>358</v>
      </c>
      <c r="H82" s="246" t="s">
        <v>235</v>
      </c>
      <c r="I82" s="238"/>
      <c r="J82" s="239"/>
      <c r="K82" s="239"/>
      <c r="L82" s="239"/>
      <c r="M82" s="239"/>
      <c r="N82" s="239"/>
      <c r="O82" s="239"/>
      <c r="P82" s="239"/>
      <c r="Q82" s="240"/>
      <c r="S82" s="234">
        <f>'2022'!F233</f>
        <v>10005.076025999999</v>
      </c>
      <c r="T82" s="235">
        <f>U82/S82</f>
        <v>24.99</v>
      </c>
      <c r="U82" s="235">
        <f>'2022'!F234</f>
        <v>250026.84988973994</v>
      </c>
    </row>
    <row r="83" spans="2:22" ht="15.6" thickTop="1" thickBot="1" x14ac:dyDescent="0.35">
      <c r="B83" s="242"/>
      <c r="C83" s="243" t="e">
        <f>D83/B83</f>
        <v>#DIV/0!</v>
      </c>
      <c r="D83" s="244"/>
      <c r="E83" s="245" t="s">
        <v>351</v>
      </c>
      <c r="F83" s="245" t="s">
        <v>352</v>
      </c>
      <c r="G83" s="245" t="s">
        <v>359</v>
      </c>
      <c r="H83" s="246" t="s">
        <v>235</v>
      </c>
      <c r="I83" s="234">
        <f>SUM(B81:B83)</f>
        <v>35224</v>
      </c>
      <c r="J83" s="235">
        <f>K83/I83</f>
        <v>50</v>
      </c>
      <c r="K83" s="235">
        <f>SUM(D81:D83)</f>
        <v>1761200</v>
      </c>
      <c r="L83" s="239"/>
      <c r="M83" s="239"/>
      <c r="N83" s="239"/>
      <c r="O83" s="239"/>
      <c r="P83" s="239"/>
      <c r="Q83" s="240"/>
      <c r="S83" s="229" t="s">
        <v>13</v>
      </c>
    </row>
    <row r="84" spans="2:22" ht="15.6" thickTop="1" thickBot="1" x14ac:dyDescent="0.35">
      <c r="B84" s="247"/>
      <c r="C84" s="248"/>
      <c r="D84" s="249"/>
      <c r="E84" s="250" t="s">
        <v>351</v>
      </c>
      <c r="F84" s="250" t="s">
        <v>360</v>
      </c>
      <c r="G84" s="250" t="s">
        <v>361</v>
      </c>
      <c r="H84" s="251" t="s">
        <v>235</v>
      </c>
      <c r="I84" s="252">
        <f>SUM(B79:B84)</f>
        <v>96824</v>
      </c>
      <c r="J84" s="253">
        <f>K84/I84</f>
        <v>33.078823432206889</v>
      </c>
      <c r="K84" s="253">
        <f>SUM(D79:D84)</f>
        <v>3202824</v>
      </c>
      <c r="L84" s="252"/>
      <c r="M84" s="253"/>
      <c r="N84" s="253"/>
      <c r="O84" s="252">
        <f>I84+L84</f>
        <v>96824</v>
      </c>
      <c r="P84" s="253">
        <f>Q84/O84</f>
        <v>33.078823432206889</v>
      </c>
      <c r="Q84" s="254">
        <f>K84+(N84-N88)</f>
        <v>3202824</v>
      </c>
      <c r="S84" s="234">
        <f>'2022'!H233</f>
        <v>12683</v>
      </c>
      <c r="T84" s="235">
        <f>U84/S84</f>
        <v>43.87</v>
      </c>
      <c r="U84" s="235">
        <f>'2022'!H234</f>
        <v>556403.21</v>
      </c>
    </row>
    <row r="85" spans="2:22" ht="15.6" thickTop="1" thickBot="1" x14ac:dyDescent="0.35">
      <c r="B85" s="255"/>
      <c r="C85" s="256" t="e">
        <f>D85/B85</f>
        <v>#DIV/0!</v>
      </c>
      <c r="D85" s="257"/>
      <c r="E85" s="258" t="s">
        <v>362</v>
      </c>
      <c r="F85" s="258" t="s">
        <v>352</v>
      </c>
      <c r="G85" s="258" t="s">
        <v>355</v>
      </c>
      <c r="H85" s="259" t="s">
        <v>356</v>
      </c>
      <c r="I85" s="260"/>
      <c r="J85" s="261"/>
      <c r="K85" s="261"/>
      <c r="L85" s="260"/>
      <c r="M85" s="261"/>
      <c r="N85" s="261"/>
      <c r="O85" s="260"/>
      <c r="P85" s="261"/>
      <c r="Q85" s="262"/>
      <c r="S85" s="301">
        <f>SUM(O84,S79,S82,S84)</f>
        <v>144712.076026</v>
      </c>
      <c r="T85" s="58">
        <f>U85/S85</f>
        <v>35.022531630180978</v>
      </c>
      <c r="U85" s="253">
        <f>Q84+U84+U82+U79</f>
        <v>5068183.2598897396</v>
      </c>
      <c r="V85" s="216" t="s">
        <v>162</v>
      </c>
    </row>
    <row r="86" spans="2:22" ht="15.6" thickTop="1" thickBot="1" x14ac:dyDescent="0.35">
      <c r="B86" s="263">
        <f>'2022'!AG496</f>
        <v>29228</v>
      </c>
      <c r="C86" s="264">
        <f>D86/B86</f>
        <v>137.36143424113862</v>
      </c>
      <c r="D86" s="265">
        <f>'2022'!AI496</f>
        <v>4014800</v>
      </c>
      <c r="E86" s="266" t="s">
        <v>362</v>
      </c>
      <c r="F86" s="266" t="s">
        <v>352</v>
      </c>
      <c r="G86" s="266" t="s">
        <v>357</v>
      </c>
      <c r="H86" s="267" t="s">
        <v>235</v>
      </c>
      <c r="I86" s="260"/>
      <c r="J86" s="261"/>
      <c r="K86" s="261"/>
      <c r="L86" s="260"/>
      <c r="M86" s="261"/>
      <c r="N86" s="261"/>
      <c r="O86" s="260"/>
      <c r="P86" s="261"/>
      <c r="Q86" s="262"/>
      <c r="S86" s="301">
        <f>S85-O88</f>
        <v>115484.076026</v>
      </c>
      <c r="T86" s="58">
        <f>U86/S86</f>
        <v>9.1214589590047179</v>
      </c>
      <c r="U86" s="253">
        <f>U85-Q88</f>
        <v>1053383.2598897396</v>
      </c>
      <c r="V86" s="216" t="s">
        <v>369</v>
      </c>
    </row>
    <row r="87" spans="2:22" ht="15.6" thickTop="1" thickBot="1" x14ac:dyDescent="0.35">
      <c r="B87" s="263"/>
      <c r="C87" s="264" t="e">
        <f>D87/B87</f>
        <v>#DIV/0!</v>
      </c>
      <c r="D87" s="265"/>
      <c r="E87" s="266" t="s">
        <v>362</v>
      </c>
      <c r="F87" s="266" t="s">
        <v>352</v>
      </c>
      <c r="G87" s="266" t="s">
        <v>358</v>
      </c>
      <c r="H87" s="267" t="s">
        <v>235</v>
      </c>
      <c r="I87" s="260"/>
      <c r="J87" s="261"/>
      <c r="K87" s="261"/>
      <c r="L87" s="260"/>
      <c r="M87" s="261"/>
      <c r="N87" s="261"/>
      <c r="O87" s="260"/>
      <c r="P87" s="261"/>
      <c r="Q87" s="262"/>
    </row>
    <row r="88" spans="2:22" ht="15.6" thickTop="1" thickBot="1" x14ac:dyDescent="0.35">
      <c r="B88" s="268"/>
      <c r="C88" s="269" t="e">
        <f>D88/B88</f>
        <v>#DIV/0!</v>
      </c>
      <c r="D88" s="270"/>
      <c r="E88" s="271" t="s">
        <v>362</v>
      </c>
      <c r="F88" s="271" t="s">
        <v>352</v>
      </c>
      <c r="G88" s="271" t="s">
        <v>359</v>
      </c>
      <c r="H88" s="272" t="s">
        <v>235</v>
      </c>
      <c r="I88" s="273">
        <f>SUM(B85:B88)</f>
        <v>29228</v>
      </c>
      <c r="J88" s="253">
        <f>K88/I88</f>
        <v>137.36143424113862</v>
      </c>
      <c r="K88" s="253">
        <f>SUM(D85:D88)</f>
        <v>4014800</v>
      </c>
      <c r="L88" s="252"/>
      <c r="M88" s="253"/>
      <c r="N88" s="253"/>
      <c r="O88" s="252">
        <f>I88+L88</f>
        <v>29228</v>
      </c>
      <c r="P88" s="253">
        <f>Q88/O88</f>
        <v>137.36143424113862</v>
      </c>
      <c r="Q88" s="254">
        <f>K88</f>
        <v>4014800</v>
      </c>
    </row>
    <row r="89" spans="2:22" ht="15" thickBot="1" x14ac:dyDescent="0.35">
      <c r="B89" s="274" t="s">
        <v>343</v>
      </c>
      <c r="C89" s="275" t="s">
        <v>344</v>
      </c>
      <c r="D89" s="275" t="s">
        <v>345</v>
      </c>
      <c r="E89" s="275" t="s">
        <v>346</v>
      </c>
      <c r="F89" s="276" t="s">
        <v>347</v>
      </c>
      <c r="G89" s="276" t="s">
        <v>348</v>
      </c>
      <c r="H89" s="277" t="s">
        <v>349</v>
      </c>
      <c r="I89" s="278">
        <f>I84-I88</f>
        <v>67596</v>
      </c>
      <c r="J89" s="279"/>
      <c r="K89" s="279"/>
      <c r="L89" s="279"/>
      <c r="M89" s="279"/>
      <c r="N89" s="279"/>
      <c r="O89" s="279"/>
      <c r="P89" s="279"/>
      <c r="Q89" s="279"/>
    </row>
    <row r="90" spans="2:22" ht="15.6" thickTop="1" thickBot="1" x14ac:dyDescent="0.35">
      <c r="B90" s="242"/>
      <c r="C90" s="243" t="e">
        <f>D90/B90</f>
        <v>#DIV/0!</v>
      </c>
      <c r="D90" s="244"/>
      <c r="E90" s="245" t="s">
        <v>351</v>
      </c>
      <c r="F90" s="245" t="s">
        <v>363</v>
      </c>
      <c r="G90" s="245" t="s">
        <v>357</v>
      </c>
      <c r="H90" s="280" t="s">
        <v>235</v>
      </c>
      <c r="I90" s="281" t="s">
        <v>364</v>
      </c>
      <c r="J90" s="279"/>
      <c r="K90" s="253">
        <f>(Q90/O90)*-1</f>
        <v>12.012190070418368</v>
      </c>
      <c r="L90" s="279"/>
      <c r="M90" s="282" t="s">
        <v>365</v>
      </c>
      <c r="N90" s="253">
        <f>N84-N88</f>
        <v>0</v>
      </c>
      <c r="O90" s="252">
        <f>O84-O88</f>
        <v>67596</v>
      </c>
      <c r="P90" s="282" t="s">
        <v>366</v>
      </c>
      <c r="Q90" s="283">
        <f>Q84-Q88</f>
        <v>-811976</v>
      </c>
    </row>
    <row r="91" spans="2:22" ht="15" thickBot="1" x14ac:dyDescent="0.35">
      <c r="B91" s="284"/>
      <c r="C91" s="284"/>
      <c r="D91" s="284"/>
      <c r="E91" s="284"/>
      <c r="F91" s="284"/>
      <c r="G91" s="284"/>
      <c r="H91" s="284"/>
      <c r="I91" s="284"/>
      <c r="J91" s="284"/>
      <c r="K91" s="284"/>
      <c r="L91" s="284"/>
      <c r="M91" s="284"/>
      <c r="N91" s="284"/>
      <c r="O91" s="284"/>
      <c r="P91" s="284"/>
      <c r="Q91" s="284"/>
    </row>
    <row r="92" spans="2:22" ht="15" thickBot="1" x14ac:dyDescent="0.35">
      <c r="B92" s="500" t="s">
        <v>421</v>
      </c>
      <c r="C92" s="501"/>
      <c r="D92" s="501"/>
      <c r="E92" s="501"/>
      <c r="F92" s="501"/>
      <c r="G92" s="501"/>
      <c r="H92" s="501"/>
      <c r="I92" s="496" t="s">
        <v>340</v>
      </c>
      <c r="J92" s="497"/>
      <c r="K92" s="498"/>
      <c r="L92" s="496" t="s">
        <v>341</v>
      </c>
      <c r="M92" s="497"/>
      <c r="N92" s="498"/>
      <c r="O92" s="496" t="s">
        <v>342</v>
      </c>
      <c r="P92" s="497"/>
      <c r="Q92" s="499"/>
    </row>
    <row r="93" spans="2:22" ht="15.6" thickTop="1" thickBot="1" x14ac:dyDescent="0.35">
      <c r="B93" s="222" t="s">
        <v>343</v>
      </c>
      <c r="C93" s="223" t="s">
        <v>344</v>
      </c>
      <c r="D93" s="223" t="s">
        <v>345</v>
      </c>
      <c r="E93" s="223" t="s">
        <v>346</v>
      </c>
      <c r="F93" s="224" t="s">
        <v>347</v>
      </c>
      <c r="G93" s="224" t="s">
        <v>348</v>
      </c>
      <c r="H93" s="225" t="s">
        <v>349</v>
      </c>
      <c r="I93" s="226" t="s">
        <v>343</v>
      </c>
      <c r="J93" s="227" t="s">
        <v>344</v>
      </c>
      <c r="K93" s="227" t="s">
        <v>345</v>
      </c>
      <c r="L93" s="226" t="s">
        <v>343</v>
      </c>
      <c r="M93" s="227" t="s">
        <v>344</v>
      </c>
      <c r="N93" s="227" t="s">
        <v>345</v>
      </c>
      <c r="O93" s="226" t="s">
        <v>343</v>
      </c>
      <c r="P93" s="227" t="s">
        <v>344</v>
      </c>
      <c r="Q93" s="228" t="s">
        <v>345</v>
      </c>
      <c r="S93" s="229" t="s">
        <v>350</v>
      </c>
    </row>
    <row r="94" spans="2:22" ht="15.6" thickTop="1" thickBot="1" x14ac:dyDescent="0.35">
      <c r="B94" s="230"/>
      <c r="C94" s="231" t="e">
        <f>D94/B94</f>
        <v>#DIV/0!</v>
      </c>
      <c r="D94" s="232"/>
      <c r="E94" s="233" t="s">
        <v>351</v>
      </c>
      <c r="F94" s="233" t="s">
        <v>352</v>
      </c>
      <c r="G94" s="233" t="s">
        <v>353</v>
      </c>
      <c r="H94" s="229" t="s">
        <v>354</v>
      </c>
      <c r="I94" s="234"/>
      <c r="J94" s="235"/>
      <c r="K94" s="235"/>
      <c r="L94" s="236"/>
      <c r="M94" s="236"/>
      <c r="N94" s="236"/>
      <c r="O94" s="236"/>
      <c r="P94" s="236"/>
      <c r="Q94" s="237"/>
      <c r="S94" s="234">
        <f>'2022'!G272</f>
        <v>26040</v>
      </c>
      <c r="T94" s="235">
        <f>U94/S94</f>
        <v>49.361512500000003</v>
      </c>
      <c r="U94" s="235">
        <f>'2022'!G273</f>
        <v>1285373.7855</v>
      </c>
    </row>
    <row r="95" spans="2:22" ht="15.6" thickTop="1" thickBot="1" x14ac:dyDescent="0.35">
      <c r="B95" s="230">
        <f>'2022'!J277</f>
        <v>41840</v>
      </c>
      <c r="C95" s="231">
        <f>D95/B95</f>
        <v>36.351854684512432</v>
      </c>
      <c r="D95" s="232">
        <f>'2022'!J278</f>
        <v>1520961.6</v>
      </c>
      <c r="E95" s="233" t="s">
        <v>351</v>
      </c>
      <c r="F95" s="233" t="s">
        <v>352</v>
      </c>
      <c r="G95" s="233" t="s">
        <v>355</v>
      </c>
      <c r="H95" s="229" t="s">
        <v>356</v>
      </c>
      <c r="I95" s="234">
        <f>SUM(B94:B95)</f>
        <v>41840</v>
      </c>
      <c r="J95" s="235">
        <f>K95/I95</f>
        <v>36.351854684512432</v>
      </c>
      <c r="K95" s="235">
        <f>SUM(D94:D95)</f>
        <v>1520961.6</v>
      </c>
      <c r="L95" s="236"/>
      <c r="M95" s="236"/>
      <c r="N95" s="236"/>
      <c r="O95" s="236"/>
      <c r="P95" s="236"/>
      <c r="Q95" s="237"/>
      <c r="S95" s="229" t="s">
        <v>11</v>
      </c>
    </row>
    <row r="96" spans="2:22" ht="15.6" thickTop="1" thickBot="1" x14ac:dyDescent="0.35">
      <c r="B96" s="242">
        <f>'2022'!X276</f>
        <v>4752</v>
      </c>
      <c r="C96" s="243">
        <f>D96/B96</f>
        <v>70</v>
      </c>
      <c r="D96" s="244">
        <f>'2022'!X277</f>
        <v>332640</v>
      </c>
      <c r="E96" s="245" t="s">
        <v>351</v>
      </c>
      <c r="F96" s="245" t="s">
        <v>352</v>
      </c>
      <c r="G96" s="245" t="s">
        <v>357</v>
      </c>
      <c r="H96" s="246" t="s">
        <v>235</v>
      </c>
      <c r="I96" s="238"/>
      <c r="J96" s="239"/>
      <c r="K96" s="239"/>
      <c r="L96" s="239"/>
      <c r="M96" s="239"/>
      <c r="N96" s="239"/>
      <c r="O96" s="239"/>
      <c r="P96" s="239"/>
      <c r="Q96" s="240"/>
      <c r="S96" s="241"/>
    </row>
    <row r="97" spans="2:22" ht="15.6" thickTop="1" thickBot="1" x14ac:dyDescent="0.35">
      <c r="B97" s="242"/>
      <c r="C97" s="243" t="e">
        <f>D97/B97</f>
        <v>#DIV/0!</v>
      </c>
      <c r="D97" s="244"/>
      <c r="E97" s="245" t="s">
        <v>351</v>
      </c>
      <c r="F97" s="245" t="s">
        <v>352</v>
      </c>
      <c r="G97" s="245" t="s">
        <v>358</v>
      </c>
      <c r="H97" s="246" t="s">
        <v>235</v>
      </c>
      <c r="I97" s="238"/>
      <c r="J97" s="239"/>
      <c r="K97" s="239"/>
      <c r="L97" s="239"/>
      <c r="M97" s="239"/>
      <c r="N97" s="239"/>
      <c r="O97" s="239"/>
      <c r="P97" s="239"/>
      <c r="Q97" s="240"/>
      <c r="S97" s="234">
        <f>'2022'!F272</f>
        <v>9031.0920579999984</v>
      </c>
      <c r="T97" s="235">
        <f>U97/S97</f>
        <v>24.99</v>
      </c>
      <c r="U97" s="235">
        <f>'2022'!F273</f>
        <v>225686.99052941994</v>
      </c>
    </row>
    <row r="98" spans="2:22" ht="15.6" thickTop="1" thickBot="1" x14ac:dyDescent="0.35">
      <c r="B98" s="242"/>
      <c r="C98" s="243" t="e">
        <f>D98/B98</f>
        <v>#DIV/0!</v>
      </c>
      <c r="D98" s="244"/>
      <c r="E98" s="245" t="s">
        <v>351</v>
      </c>
      <c r="F98" s="245" t="s">
        <v>352</v>
      </c>
      <c r="G98" s="245" t="s">
        <v>359</v>
      </c>
      <c r="H98" s="246" t="s">
        <v>235</v>
      </c>
      <c r="I98" s="234">
        <f>SUM(B96:B98)</f>
        <v>4752</v>
      </c>
      <c r="J98" s="235">
        <f>K98/I98</f>
        <v>70</v>
      </c>
      <c r="K98" s="235">
        <f>SUM(D96:D98)</f>
        <v>332640</v>
      </c>
      <c r="L98" s="239"/>
      <c r="M98" s="239"/>
      <c r="N98" s="239"/>
      <c r="O98" s="239"/>
      <c r="P98" s="239"/>
      <c r="Q98" s="240"/>
      <c r="S98" s="229" t="s">
        <v>13</v>
      </c>
    </row>
    <row r="99" spans="2:22" ht="15.6" thickTop="1" thickBot="1" x14ac:dyDescent="0.35">
      <c r="B99" s="247"/>
      <c r="C99" s="248"/>
      <c r="D99" s="249"/>
      <c r="E99" s="250" t="s">
        <v>351</v>
      </c>
      <c r="F99" s="250" t="s">
        <v>360</v>
      </c>
      <c r="G99" s="250" t="s">
        <v>361</v>
      </c>
      <c r="H99" s="251" t="s">
        <v>235</v>
      </c>
      <c r="I99" s="285">
        <f>SUM(B94:B99)</f>
        <v>46592</v>
      </c>
      <c r="J99" s="286">
        <f>K99/I99</f>
        <v>39.783688186813187</v>
      </c>
      <c r="K99" s="286">
        <f>SUM(D94:D99)</f>
        <v>1853601.6</v>
      </c>
      <c r="L99" s="252"/>
      <c r="M99" s="253"/>
      <c r="N99" s="253"/>
      <c r="O99" s="252">
        <f>I99+L99</f>
        <v>46592</v>
      </c>
      <c r="P99" s="253">
        <f>Q99/O99</f>
        <v>39.783688186813187</v>
      </c>
      <c r="Q99" s="254">
        <f>K99+(N99-N103)</f>
        <v>1853601.6</v>
      </c>
      <c r="S99" s="234">
        <f>'2022'!H272</f>
        <v>11003</v>
      </c>
      <c r="T99" s="235">
        <f>U99/S99</f>
        <v>43.87</v>
      </c>
      <c r="U99" s="235">
        <f>'2022'!H273</f>
        <v>482701.61</v>
      </c>
    </row>
    <row r="100" spans="2:22" ht="15.6" thickTop="1" thickBot="1" x14ac:dyDescent="0.35">
      <c r="B100" s="255"/>
      <c r="C100" s="256" t="e">
        <f>D100/B100</f>
        <v>#DIV/0!</v>
      </c>
      <c r="D100" s="257"/>
      <c r="E100" s="258" t="s">
        <v>362</v>
      </c>
      <c r="F100" s="258" t="s">
        <v>352</v>
      </c>
      <c r="G100" s="258" t="s">
        <v>355</v>
      </c>
      <c r="H100" s="259" t="s">
        <v>356</v>
      </c>
      <c r="I100" s="260"/>
      <c r="J100" s="261"/>
      <c r="K100" s="261"/>
      <c r="L100" s="260"/>
      <c r="M100" s="261"/>
      <c r="N100" s="261"/>
      <c r="O100" s="260"/>
      <c r="P100" s="261"/>
      <c r="Q100" s="262"/>
      <c r="S100" s="301">
        <f>SUM(O99,S94,S97,S99)</f>
        <v>92666.092057999995</v>
      </c>
      <c r="T100" s="58">
        <f>U100/S100</f>
        <v>41.518573844911288</v>
      </c>
      <c r="U100" s="253">
        <f>Q99+U99+U97+U94</f>
        <v>3847363.98602942</v>
      </c>
      <c r="V100" s="216" t="s">
        <v>162</v>
      </c>
    </row>
    <row r="101" spans="2:22" ht="15.6" thickTop="1" thickBot="1" x14ac:dyDescent="0.35">
      <c r="B101" s="263">
        <f>'2022'!AG497</f>
        <v>26195</v>
      </c>
      <c r="C101" s="264">
        <f>D101/B101</f>
        <v>220.99637335369346</v>
      </c>
      <c r="D101" s="265">
        <f>'2022'!AI497</f>
        <v>5789000</v>
      </c>
      <c r="E101" s="266" t="s">
        <v>362</v>
      </c>
      <c r="F101" s="266" t="s">
        <v>352</v>
      </c>
      <c r="G101" s="266" t="s">
        <v>357</v>
      </c>
      <c r="H101" s="267" t="s">
        <v>235</v>
      </c>
      <c r="I101" s="260"/>
      <c r="J101" s="261"/>
      <c r="K101" s="261"/>
      <c r="L101" s="260"/>
      <c r="M101" s="261"/>
      <c r="N101" s="261"/>
      <c r="O101" s="260"/>
      <c r="P101" s="261"/>
      <c r="Q101" s="262"/>
      <c r="S101" s="301">
        <f>S100-O103</f>
        <v>66471.092057999995</v>
      </c>
      <c r="T101" s="58">
        <f>U101/S101</f>
        <v>-29.210231904665967</v>
      </c>
      <c r="U101" s="253">
        <f>U100-Q103</f>
        <v>-1941636.01397058</v>
      </c>
      <c r="V101" s="216" t="s">
        <v>369</v>
      </c>
    </row>
    <row r="102" spans="2:22" ht="15.6" thickTop="1" thickBot="1" x14ac:dyDescent="0.35">
      <c r="B102" s="263"/>
      <c r="C102" s="264" t="e">
        <f>D102/B102</f>
        <v>#DIV/0!</v>
      </c>
      <c r="D102" s="265"/>
      <c r="E102" s="266" t="s">
        <v>362</v>
      </c>
      <c r="F102" s="266" t="s">
        <v>352</v>
      </c>
      <c r="G102" s="266" t="s">
        <v>358</v>
      </c>
      <c r="H102" s="267" t="s">
        <v>235</v>
      </c>
      <c r="I102" s="260"/>
      <c r="J102" s="261"/>
      <c r="K102" s="261"/>
      <c r="L102" s="260"/>
      <c r="M102" s="261"/>
      <c r="N102" s="261"/>
      <c r="O102" s="260"/>
      <c r="P102" s="261"/>
      <c r="Q102" s="262"/>
    </row>
    <row r="103" spans="2:22" ht="15.6" thickTop="1" thickBot="1" x14ac:dyDescent="0.35">
      <c r="B103" s="268"/>
      <c r="C103" s="269" t="e">
        <f>D103/B103</f>
        <v>#DIV/0!</v>
      </c>
      <c r="D103" s="270"/>
      <c r="E103" s="271" t="s">
        <v>362</v>
      </c>
      <c r="F103" s="271" t="s">
        <v>352</v>
      </c>
      <c r="G103" s="271" t="s">
        <v>359</v>
      </c>
      <c r="H103" s="272" t="s">
        <v>235</v>
      </c>
      <c r="I103" s="287">
        <f>SUM(B100:B103)</f>
        <v>26195</v>
      </c>
      <c r="J103" s="253">
        <f>K103/I103</f>
        <v>220.99637335369346</v>
      </c>
      <c r="K103" s="253">
        <f>SUM(D100:D103)</f>
        <v>5789000</v>
      </c>
      <c r="L103" s="252"/>
      <c r="M103" s="253"/>
      <c r="N103" s="253"/>
      <c r="O103" s="252">
        <f>I103+L103</f>
        <v>26195</v>
      </c>
      <c r="P103" s="253">
        <f>Q103/O103</f>
        <v>220.99637335369346</v>
      </c>
      <c r="Q103" s="254">
        <f>K103</f>
        <v>5789000</v>
      </c>
    </row>
    <row r="104" spans="2:22" ht="15" thickBot="1" x14ac:dyDescent="0.35">
      <c r="B104" s="274" t="s">
        <v>343</v>
      </c>
      <c r="C104" s="275" t="s">
        <v>344</v>
      </c>
      <c r="D104" s="275" t="s">
        <v>345</v>
      </c>
      <c r="E104" s="275" t="s">
        <v>346</v>
      </c>
      <c r="F104" s="276" t="s">
        <v>347</v>
      </c>
      <c r="G104" s="276" t="s">
        <v>348</v>
      </c>
      <c r="H104" s="277" t="s">
        <v>349</v>
      </c>
      <c r="I104" s="278">
        <f>I99-I103</f>
        <v>20397</v>
      </c>
      <c r="J104" s="279"/>
      <c r="K104" s="279"/>
      <c r="L104" s="279"/>
      <c r="M104" s="279"/>
      <c r="N104" s="279"/>
      <c r="O104" s="279"/>
      <c r="P104" s="279"/>
      <c r="Q104" s="279"/>
    </row>
    <row r="105" spans="2:22" ht="15.6" thickTop="1" thickBot="1" x14ac:dyDescent="0.35">
      <c r="B105" s="242"/>
      <c r="C105" s="243" t="e">
        <f>D105/B105</f>
        <v>#DIV/0!</v>
      </c>
      <c r="D105" s="244"/>
      <c r="E105" s="245" t="s">
        <v>351</v>
      </c>
      <c r="F105" s="245" t="s">
        <v>363</v>
      </c>
      <c r="G105" s="245" t="s">
        <v>357</v>
      </c>
      <c r="H105" s="280" t="s">
        <v>235</v>
      </c>
      <c r="I105" s="281" t="s">
        <v>364</v>
      </c>
      <c r="J105" s="279"/>
      <c r="K105" s="253">
        <f>(Q105/O105)*-1</f>
        <v>192.94005981271755</v>
      </c>
      <c r="L105" s="279"/>
      <c r="M105" s="282" t="s">
        <v>365</v>
      </c>
      <c r="N105" s="253">
        <f>N99-N103</f>
        <v>0</v>
      </c>
      <c r="O105" s="252">
        <f>O99-O103</f>
        <v>20397</v>
      </c>
      <c r="P105" s="282" t="s">
        <v>366</v>
      </c>
      <c r="Q105" s="283">
        <f>Q99-Q103</f>
        <v>-3935398.4</v>
      </c>
    </row>
    <row r="106" spans="2:22" ht="15" thickBot="1" x14ac:dyDescent="0.35">
      <c r="B106" s="284"/>
      <c r="C106" s="284"/>
      <c r="D106" s="284"/>
      <c r="E106" s="284"/>
      <c r="F106" s="284"/>
      <c r="G106" s="284"/>
      <c r="H106" s="284"/>
      <c r="I106" s="284"/>
      <c r="J106" s="284"/>
      <c r="K106" s="284"/>
      <c r="L106" s="284"/>
      <c r="M106" s="284"/>
      <c r="N106" s="284"/>
      <c r="O106" s="284"/>
      <c r="P106" s="284"/>
      <c r="Q106" s="284"/>
    </row>
    <row r="107" spans="2:22" ht="15" thickBot="1" x14ac:dyDescent="0.35">
      <c r="B107" s="500" t="s">
        <v>422</v>
      </c>
      <c r="C107" s="501"/>
      <c r="D107" s="501"/>
      <c r="E107" s="501"/>
      <c r="F107" s="501"/>
      <c r="G107" s="501"/>
      <c r="H107" s="501"/>
      <c r="I107" s="496" t="s">
        <v>340</v>
      </c>
      <c r="J107" s="497"/>
      <c r="K107" s="498"/>
      <c r="L107" s="496" t="s">
        <v>341</v>
      </c>
      <c r="M107" s="497"/>
      <c r="N107" s="498"/>
      <c r="O107" s="496" t="s">
        <v>342</v>
      </c>
      <c r="P107" s="497"/>
      <c r="Q107" s="499"/>
    </row>
    <row r="108" spans="2:22" ht="15.6" thickTop="1" thickBot="1" x14ac:dyDescent="0.35">
      <c r="B108" s="222" t="s">
        <v>343</v>
      </c>
      <c r="C108" s="223" t="s">
        <v>344</v>
      </c>
      <c r="D108" s="223" t="s">
        <v>345</v>
      </c>
      <c r="E108" s="223" t="s">
        <v>346</v>
      </c>
      <c r="F108" s="224" t="s">
        <v>347</v>
      </c>
      <c r="G108" s="224" t="s">
        <v>348</v>
      </c>
      <c r="H108" s="225" t="s">
        <v>349</v>
      </c>
      <c r="I108" s="226" t="s">
        <v>343</v>
      </c>
      <c r="J108" s="227" t="s">
        <v>344</v>
      </c>
      <c r="K108" s="227" t="s">
        <v>345</v>
      </c>
      <c r="L108" s="226" t="s">
        <v>343</v>
      </c>
      <c r="M108" s="227" t="s">
        <v>344</v>
      </c>
      <c r="N108" s="227" t="s">
        <v>345</v>
      </c>
      <c r="O108" s="226" t="s">
        <v>343</v>
      </c>
      <c r="P108" s="227" t="s">
        <v>344</v>
      </c>
      <c r="Q108" s="228" t="s">
        <v>345</v>
      </c>
      <c r="S108" s="229" t="s">
        <v>350</v>
      </c>
    </row>
    <row r="109" spans="2:22" ht="15.6" thickTop="1" thickBot="1" x14ac:dyDescent="0.35">
      <c r="B109" s="230"/>
      <c r="C109" s="231" t="e">
        <f>D109/B109</f>
        <v>#DIV/0!</v>
      </c>
      <c r="D109" s="232"/>
      <c r="E109" s="233" t="s">
        <v>351</v>
      </c>
      <c r="F109" s="233" t="s">
        <v>352</v>
      </c>
      <c r="G109" s="233" t="s">
        <v>353</v>
      </c>
      <c r="H109" s="229" t="s">
        <v>354</v>
      </c>
      <c r="I109" s="234"/>
      <c r="J109" s="235"/>
      <c r="K109" s="235"/>
      <c r="L109" s="236"/>
      <c r="M109" s="236"/>
      <c r="N109" s="236"/>
      <c r="O109" s="236"/>
      <c r="P109" s="236"/>
      <c r="Q109" s="237"/>
      <c r="S109" s="234">
        <f>'2022'!G311</f>
        <v>26040</v>
      </c>
      <c r="T109" s="235">
        <f>U109/S109</f>
        <v>49.585162500000003</v>
      </c>
      <c r="U109" s="235">
        <f>'2022'!G312</f>
        <v>1291197.6315000001</v>
      </c>
    </row>
    <row r="110" spans="2:22" ht="15.6" thickTop="1" thickBot="1" x14ac:dyDescent="0.35">
      <c r="B110" s="230">
        <f>'2022'!J316</f>
        <v>38640</v>
      </c>
      <c r="C110" s="231">
        <f>D110/B110</f>
        <v>36.802111801242241</v>
      </c>
      <c r="D110" s="232">
        <f>'2022'!J317</f>
        <v>1422033.6</v>
      </c>
      <c r="E110" s="233" t="s">
        <v>351</v>
      </c>
      <c r="F110" s="233" t="s">
        <v>352</v>
      </c>
      <c r="G110" s="233" t="s">
        <v>355</v>
      </c>
      <c r="H110" s="229" t="s">
        <v>356</v>
      </c>
      <c r="I110" s="234">
        <f>SUM(B109:B110)</f>
        <v>38640</v>
      </c>
      <c r="J110" s="235">
        <f>K110/I110</f>
        <v>36.802111801242241</v>
      </c>
      <c r="K110" s="235">
        <f>SUM(D109:D110)</f>
        <v>1422033.6</v>
      </c>
      <c r="L110" s="236"/>
      <c r="M110" s="236"/>
      <c r="N110" s="236"/>
      <c r="O110" s="236"/>
      <c r="P110" s="236"/>
      <c r="Q110" s="237"/>
      <c r="S110" s="229" t="s">
        <v>11</v>
      </c>
    </row>
    <row r="111" spans="2:22" ht="15.6" thickTop="1" thickBot="1" x14ac:dyDescent="0.35">
      <c r="B111" s="242">
        <f>'2022'!X315</f>
        <v>3492</v>
      </c>
      <c r="C111" s="243">
        <f>D111/B111</f>
        <v>70</v>
      </c>
      <c r="D111" s="244">
        <f>'2022'!X316</f>
        <v>244440</v>
      </c>
      <c r="E111" s="245" t="s">
        <v>351</v>
      </c>
      <c r="F111" s="245" t="s">
        <v>352</v>
      </c>
      <c r="G111" s="245" t="s">
        <v>357</v>
      </c>
      <c r="H111" s="246" t="s">
        <v>235</v>
      </c>
      <c r="I111" s="238"/>
      <c r="J111" s="239"/>
      <c r="K111" s="239"/>
      <c r="L111" s="239"/>
      <c r="M111" s="239"/>
      <c r="N111" s="239"/>
      <c r="O111" s="239"/>
      <c r="P111" s="239"/>
      <c r="Q111" s="240"/>
      <c r="S111" s="241"/>
    </row>
    <row r="112" spans="2:22" ht="15.6" thickTop="1" thickBot="1" x14ac:dyDescent="0.35">
      <c r="B112" s="242"/>
      <c r="C112" s="243" t="e">
        <f>D112/B112</f>
        <v>#DIV/0!</v>
      </c>
      <c r="D112" s="244"/>
      <c r="E112" s="245" t="s">
        <v>351</v>
      </c>
      <c r="F112" s="245" t="s">
        <v>352</v>
      </c>
      <c r="G112" s="245" t="s">
        <v>358</v>
      </c>
      <c r="H112" s="246" t="s">
        <v>235</v>
      </c>
      <c r="I112" s="238"/>
      <c r="J112" s="239"/>
      <c r="K112" s="239"/>
      <c r="L112" s="239"/>
      <c r="M112" s="239"/>
      <c r="N112" s="239"/>
      <c r="O112" s="239"/>
      <c r="P112" s="239"/>
      <c r="Q112" s="240"/>
      <c r="S112" s="234">
        <f>'2022'!F311</f>
        <v>8347.3062929999978</v>
      </c>
      <c r="T112" s="235">
        <f>U112/S112</f>
        <v>24.99</v>
      </c>
      <c r="U112" s="235">
        <f>'2022'!F312</f>
        <v>208599.18426206993</v>
      </c>
    </row>
    <row r="113" spans="2:22" ht="15.6" thickTop="1" thickBot="1" x14ac:dyDescent="0.35">
      <c r="B113" s="242"/>
      <c r="C113" s="243" t="e">
        <f>D113/B113</f>
        <v>#DIV/0!</v>
      </c>
      <c r="D113" s="244"/>
      <c r="E113" s="245" t="s">
        <v>351</v>
      </c>
      <c r="F113" s="245" t="s">
        <v>352</v>
      </c>
      <c r="G113" s="245" t="s">
        <v>359</v>
      </c>
      <c r="H113" s="246" t="s">
        <v>235</v>
      </c>
      <c r="I113" s="288">
        <f>SUM(B111:B113)</f>
        <v>3492</v>
      </c>
      <c r="J113" s="235">
        <f>K113/I113</f>
        <v>70</v>
      </c>
      <c r="K113" s="235">
        <f>SUM(D111:D113)</f>
        <v>244440</v>
      </c>
      <c r="L113" s="239"/>
      <c r="M113" s="239"/>
      <c r="N113" s="239"/>
      <c r="O113" s="239"/>
      <c r="P113" s="239"/>
      <c r="Q113" s="240"/>
      <c r="S113" s="229" t="s">
        <v>13</v>
      </c>
    </row>
    <row r="114" spans="2:22" ht="15.6" thickTop="1" thickBot="1" x14ac:dyDescent="0.35">
      <c r="B114" s="247"/>
      <c r="C114" s="248"/>
      <c r="D114" s="249"/>
      <c r="E114" s="250" t="s">
        <v>351</v>
      </c>
      <c r="F114" s="250" t="s">
        <v>360</v>
      </c>
      <c r="G114" s="250" t="s">
        <v>361</v>
      </c>
      <c r="H114" s="251" t="s">
        <v>235</v>
      </c>
      <c r="I114" s="252">
        <f>SUM(B109:B114)</f>
        <v>42132</v>
      </c>
      <c r="J114" s="253">
        <f>K114/I114</f>
        <v>39.553631444033044</v>
      </c>
      <c r="K114" s="253">
        <f>SUM(D109:D114)</f>
        <v>1666473.6</v>
      </c>
      <c r="L114" s="252"/>
      <c r="M114" s="253"/>
      <c r="N114" s="253"/>
      <c r="O114" s="252">
        <f>I114+L114</f>
        <v>42132</v>
      </c>
      <c r="P114" s="253">
        <f>Q114/O114</f>
        <v>39.553631444033044</v>
      </c>
      <c r="Q114" s="254">
        <f>K114+(N114-N118)</f>
        <v>1666473.6</v>
      </c>
      <c r="S114" s="234">
        <f>'2022'!H311</f>
        <v>10503</v>
      </c>
      <c r="T114" s="235">
        <f>U114/S114</f>
        <v>43.87</v>
      </c>
      <c r="U114" s="235">
        <f>'2022'!H312</f>
        <v>460766.61</v>
      </c>
    </row>
    <row r="115" spans="2:22" ht="15.6" thickTop="1" thickBot="1" x14ac:dyDescent="0.35">
      <c r="B115" s="255"/>
      <c r="C115" s="256" t="e">
        <f>D115/B115</f>
        <v>#DIV/0!</v>
      </c>
      <c r="D115" s="257"/>
      <c r="E115" s="258" t="s">
        <v>362</v>
      </c>
      <c r="F115" s="258" t="s">
        <v>352</v>
      </c>
      <c r="G115" s="258" t="s">
        <v>355</v>
      </c>
      <c r="H115" s="259" t="s">
        <v>356</v>
      </c>
      <c r="I115" s="260"/>
      <c r="J115" s="261"/>
      <c r="K115" s="261"/>
      <c r="L115" s="260"/>
      <c r="M115" s="261"/>
      <c r="N115" s="261"/>
      <c r="O115" s="260"/>
      <c r="P115" s="261"/>
      <c r="Q115" s="262"/>
      <c r="S115" s="301">
        <f>SUM(O114,S109,S112,S114)</f>
        <v>87022.306293000001</v>
      </c>
      <c r="T115" s="58">
        <f>U115/S115</f>
        <v>41.679394402051436</v>
      </c>
      <c r="U115" s="253">
        <f>Q114+U114+U112+U109</f>
        <v>3627037.02576207</v>
      </c>
      <c r="V115" s="216" t="s">
        <v>162</v>
      </c>
    </row>
    <row r="116" spans="2:22" ht="15.6" thickTop="1" thickBot="1" x14ac:dyDescent="0.35">
      <c r="B116" s="263">
        <f>'2022'!AG498</f>
        <v>24442</v>
      </c>
      <c r="C116" s="264">
        <f>D116/B116</f>
        <v>224.3024302430243</v>
      </c>
      <c r="D116" s="265">
        <f>'2022'!AI498</f>
        <v>5482400</v>
      </c>
      <c r="E116" s="266" t="s">
        <v>362</v>
      </c>
      <c r="F116" s="266" t="s">
        <v>352</v>
      </c>
      <c r="G116" s="266" t="s">
        <v>357</v>
      </c>
      <c r="H116" s="267" t="s">
        <v>235</v>
      </c>
      <c r="I116" s="260"/>
      <c r="J116" s="261"/>
      <c r="K116" s="261"/>
      <c r="L116" s="260"/>
      <c r="M116" s="261"/>
      <c r="N116" s="261"/>
      <c r="O116" s="260"/>
      <c r="P116" s="261"/>
      <c r="Q116" s="262"/>
      <c r="S116" s="301">
        <f>S115-O118</f>
        <v>62580.306293000001</v>
      </c>
      <c r="T116" s="58">
        <f>U116/S116</f>
        <v>-29.647713220691987</v>
      </c>
      <c r="U116" s="253">
        <f>U115-Q118</f>
        <v>-1855362.97423793</v>
      </c>
      <c r="V116" s="216" t="s">
        <v>369</v>
      </c>
    </row>
    <row r="117" spans="2:22" ht="15.6" thickTop="1" thickBot="1" x14ac:dyDescent="0.35">
      <c r="B117" s="263"/>
      <c r="C117" s="264" t="e">
        <f>D117/B117</f>
        <v>#DIV/0!</v>
      </c>
      <c r="D117" s="265"/>
      <c r="E117" s="266" t="s">
        <v>362</v>
      </c>
      <c r="F117" s="266" t="s">
        <v>352</v>
      </c>
      <c r="G117" s="266" t="s">
        <v>358</v>
      </c>
      <c r="H117" s="267" t="s">
        <v>235</v>
      </c>
      <c r="I117" s="260"/>
      <c r="J117" s="261"/>
      <c r="K117" s="261"/>
      <c r="L117" s="260"/>
      <c r="M117" s="261"/>
      <c r="N117" s="261"/>
      <c r="O117" s="260"/>
      <c r="P117" s="261"/>
      <c r="Q117" s="262"/>
    </row>
    <row r="118" spans="2:22" ht="15.6" thickTop="1" thickBot="1" x14ac:dyDescent="0.35">
      <c r="B118" s="268"/>
      <c r="C118" s="269" t="e">
        <f>D118/B118</f>
        <v>#DIV/0!</v>
      </c>
      <c r="D118" s="270"/>
      <c r="E118" s="271" t="s">
        <v>362</v>
      </c>
      <c r="F118" s="271" t="s">
        <v>352</v>
      </c>
      <c r="G118" s="271" t="s">
        <v>359</v>
      </c>
      <c r="H118" s="272" t="s">
        <v>235</v>
      </c>
      <c r="I118" s="287">
        <f>SUM(B115:B118)</f>
        <v>24442</v>
      </c>
      <c r="J118" s="253">
        <f>K118/I118</f>
        <v>224.3024302430243</v>
      </c>
      <c r="K118" s="253">
        <f>SUM(D115:D118)</f>
        <v>5482400</v>
      </c>
      <c r="L118" s="252"/>
      <c r="M118" s="253"/>
      <c r="N118" s="253"/>
      <c r="O118" s="252">
        <f>I118+L118</f>
        <v>24442</v>
      </c>
      <c r="P118" s="253">
        <f>Q118/O118</f>
        <v>224.3024302430243</v>
      </c>
      <c r="Q118" s="254">
        <f>K118</f>
        <v>5482400</v>
      </c>
    </row>
    <row r="119" spans="2:22" ht="15" thickBot="1" x14ac:dyDescent="0.35">
      <c r="B119" s="274" t="s">
        <v>343</v>
      </c>
      <c r="C119" s="275" t="s">
        <v>344</v>
      </c>
      <c r="D119" s="275" t="s">
        <v>345</v>
      </c>
      <c r="E119" s="275" t="s">
        <v>346</v>
      </c>
      <c r="F119" s="276" t="s">
        <v>347</v>
      </c>
      <c r="G119" s="276" t="s">
        <v>348</v>
      </c>
      <c r="H119" s="277" t="s">
        <v>349</v>
      </c>
      <c r="I119" s="278">
        <f>I114-I118</f>
        <v>17690</v>
      </c>
      <c r="J119" s="279"/>
      <c r="K119" s="279"/>
      <c r="L119" s="279"/>
      <c r="M119" s="279"/>
      <c r="N119" s="279"/>
      <c r="O119" s="279"/>
      <c r="P119" s="279"/>
      <c r="Q119" s="279"/>
    </row>
    <row r="120" spans="2:22" ht="15.6" thickTop="1" thickBot="1" x14ac:dyDescent="0.35">
      <c r="B120" s="242"/>
      <c r="C120" s="243" t="e">
        <f>D120/B120</f>
        <v>#DIV/0!</v>
      </c>
      <c r="D120" s="244"/>
      <c r="E120" s="245" t="s">
        <v>351</v>
      </c>
      <c r="F120" s="245" t="s">
        <v>363</v>
      </c>
      <c r="G120" s="245" t="s">
        <v>357</v>
      </c>
      <c r="H120" s="280" t="s">
        <v>235</v>
      </c>
      <c r="I120" s="281" t="s">
        <v>364</v>
      </c>
      <c r="J120" s="279"/>
      <c r="K120" s="253">
        <f>(Q120/O120)*-1</f>
        <v>215.71093273035612</v>
      </c>
      <c r="L120" s="279"/>
      <c r="M120" s="282" t="s">
        <v>365</v>
      </c>
      <c r="N120" s="253">
        <f>N114-N118</f>
        <v>0</v>
      </c>
      <c r="O120" s="252">
        <f>O114-O118</f>
        <v>17690</v>
      </c>
      <c r="P120" s="282" t="s">
        <v>366</v>
      </c>
      <c r="Q120" s="283">
        <f>Q114-Q118</f>
        <v>-3815926.4</v>
      </c>
    </row>
    <row r="121" spans="2:22" ht="15" thickBot="1" x14ac:dyDescent="0.35">
      <c r="B121" s="284"/>
      <c r="C121" s="284"/>
      <c r="D121" s="284"/>
      <c r="E121" s="284"/>
      <c r="F121" s="284"/>
      <c r="G121" s="284"/>
      <c r="H121" s="284"/>
      <c r="I121" s="284"/>
      <c r="J121" s="284"/>
      <c r="K121" s="284"/>
      <c r="L121" s="284"/>
      <c r="M121" s="284"/>
      <c r="N121" s="284"/>
      <c r="O121" s="284"/>
      <c r="P121" s="284"/>
      <c r="Q121" s="284"/>
    </row>
    <row r="122" spans="2:22" ht="15" thickBot="1" x14ac:dyDescent="0.35">
      <c r="B122" s="500" t="s">
        <v>423</v>
      </c>
      <c r="C122" s="501"/>
      <c r="D122" s="501"/>
      <c r="E122" s="501"/>
      <c r="F122" s="501"/>
      <c r="G122" s="501"/>
      <c r="H122" s="501"/>
      <c r="I122" s="496" t="s">
        <v>340</v>
      </c>
      <c r="J122" s="497"/>
      <c r="K122" s="498"/>
      <c r="L122" s="496" t="s">
        <v>341</v>
      </c>
      <c r="M122" s="497"/>
      <c r="N122" s="498"/>
      <c r="O122" s="496" t="s">
        <v>342</v>
      </c>
      <c r="P122" s="497"/>
      <c r="Q122" s="499"/>
    </row>
    <row r="123" spans="2:22" ht="15.6" thickTop="1" thickBot="1" x14ac:dyDescent="0.35">
      <c r="B123" s="222" t="s">
        <v>343</v>
      </c>
      <c r="C123" s="223" t="s">
        <v>344</v>
      </c>
      <c r="D123" s="223" t="s">
        <v>345</v>
      </c>
      <c r="E123" s="223" t="s">
        <v>346</v>
      </c>
      <c r="F123" s="224" t="s">
        <v>347</v>
      </c>
      <c r="G123" s="224" t="s">
        <v>348</v>
      </c>
      <c r="H123" s="225" t="s">
        <v>349</v>
      </c>
      <c r="I123" s="226" t="s">
        <v>343</v>
      </c>
      <c r="J123" s="227" t="s">
        <v>344</v>
      </c>
      <c r="K123" s="227" t="s">
        <v>345</v>
      </c>
      <c r="L123" s="226" t="s">
        <v>343</v>
      </c>
      <c r="M123" s="227" t="s">
        <v>344</v>
      </c>
      <c r="N123" s="227" t="s">
        <v>345</v>
      </c>
      <c r="O123" s="226" t="s">
        <v>343</v>
      </c>
      <c r="P123" s="227" t="s">
        <v>344</v>
      </c>
      <c r="Q123" s="228" t="s">
        <v>345</v>
      </c>
      <c r="S123" s="229" t="s">
        <v>350</v>
      </c>
    </row>
    <row r="124" spans="2:22" ht="15.6" thickTop="1" thickBot="1" x14ac:dyDescent="0.35">
      <c r="B124" s="230"/>
      <c r="C124" s="231" t="e">
        <f>D124/B124</f>
        <v>#DIV/0!</v>
      </c>
      <c r="D124" s="232"/>
      <c r="E124" s="233" t="s">
        <v>351</v>
      </c>
      <c r="F124" s="233" t="s">
        <v>352</v>
      </c>
      <c r="G124" s="233" t="s">
        <v>353</v>
      </c>
      <c r="H124" s="229" t="s">
        <v>354</v>
      </c>
      <c r="I124" s="234"/>
      <c r="J124" s="235"/>
      <c r="K124" s="235"/>
      <c r="L124" s="236"/>
      <c r="M124" s="236"/>
      <c r="N124" s="236"/>
      <c r="O124" s="236"/>
      <c r="P124" s="236"/>
      <c r="Q124" s="237"/>
      <c r="S124" s="234">
        <f>'2022'!G350</f>
        <v>25200</v>
      </c>
      <c r="T124" s="235">
        <f>U124/S124</f>
        <v>48.602699999999999</v>
      </c>
      <c r="U124" s="235">
        <f>'2022'!G351</f>
        <v>1224788.04</v>
      </c>
    </row>
    <row r="125" spans="2:22" ht="15.6" thickTop="1" thickBot="1" x14ac:dyDescent="0.35">
      <c r="B125" s="230">
        <f>'2022'!J355</f>
        <v>39200</v>
      </c>
      <c r="C125" s="231">
        <f>D125/B125</f>
        <v>36.530816326530612</v>
      </c>
      <c r="D125" s="232">
        <f>'2022'!J356</f>
        <v>1432008</v>
      </c>
      <c r="E125" s="233" t="s">
        <v>351</v>
      </c>
      <c r="F125" s="233" t="s">
        <v>352</v>
      </c>
      <c r="G125" s="233" t="s">
        <v>355</v>
      </c>
      <c r="H125" s="229" t="s">
        <v>356</v>
      </c>
      <c r="I125" s="234">
        <f>SUM(B124:B125)</f>
        <v>39200</v>
      </c>
      <c r="J125" s="235">
        <f>K125/I125</f>
        <v>36.530816326530612</v>
      </c>
      <c r="K125" s="235">
        <f>SUM(D124:D125)</f>
        <v>1432008</v>
      </c>
      <c r="L125" s="236"/>
      <c r="M125" s="236"/>
      <c r="N125" s="236"/>
      <c r="O125" s="236"/>
      <c r="P125" s="236"/>
      <c r="Q125" s="237"/>
      <c r="S125" s="229" t="s">
        <v>11</v>
      </c>
    </row>
    <row r="126" spans="2:22" ht="15.6" thickTop="1" thickBot="1" x14ac:dyDescent="0.35">
      <c r="B126" s="242">
        <f>'2022'!X354</f>
        <v>79620</v>
      </c>
      <c r="C126" s="243">
        <f>D126/B126</f>
        <v>70</v>
      </c>
      <c r="D126" s="244">
        <f>'2022'!X355</f>
        <v>5573400</v>
      </c>
      <c r="E126" s="245" t="s">
        <v>351</v>
      </c>
      <c r="F126" s="245" t="s">
        <v>352</v>
      </c>
      <c r="G126" s="245" t="s">
        <v>357</v>
      </c>
      <c r="H126" s="246" t="s">
        <v>235</v>
      </c>
      <c r="I126" s="238"/>
      <c r="J126" s="239"/>
      <c r="K126" s="239"/>
      <c r="L126" s="239"/>
      <c r="M126" s="239"/>
      <c r="N126" s="239"/>
      <c r="O126" s="239"/>
      <c r="P126" s="239"/>
      <c r="Q126" s="240"/>
      <c r="S126" s="241"/>
    </row>
    <row r="127" spans="2:22" ht="15.6" thickTop="1" thickBot="1" x14ac:dyDescent="0.35">
      <c r="B127" s="242"/>
      <c r="C127" s="243" t="e">
        <f>D127/B127</f>
        <v>#DIV/0!</v>
      </c>
      <c r="D127" s="244"/>
      <c r="E127" s="245" t="s">
        <v>351</v>
      </c>
      <c r="F127" s="245" t="s">
        <v>352</v>
      </c>
      <c r="G127" s="245" t="s">
        <v>358</v>
      </c>
      <c r="H127" s="246" t="s">
        <v>235</v>
      </c>
      <c r="I127" s="238"/>
      <c r="J127" s="239"/>
      <c r="K127" s="239"/>
      <c r="L127" s="239"/>
      <c r="M127" s="239"/>
      <c r="N127" s="239"/>
      <c r="O127" s="239"/>
      <c r="P127" s="239"/>
      <c r="Q127" s="240"/>
      <c r="S127" s="234">
        <f>'2022'!F350</f>
        <v>7169.2854460000008</v>
      </c>
      <c r="T127" s="235">
        <f>U127/S127</f>
        <v>24.99</v>
      </c>
      <c r="U127" s="235">
        <f>'2022'!F351</f>
        <v>179160.44329554</v>
      </c>
    </row>
    <row r="128" spans="2:22" ht="15.6" thickTop="1" thickBot="1" x14ac:dyDescent="0.35">
      <c r="B128" s="242"/>
      <c r="C128" s="243" t="e">
        <f>D128/B128</f>
        <v>#DIV/0!</v>
      </c>
      <c r="D128" s="244"/>
      <c r="E128" s="245" t="s">
        <v>351</v>
      </c>
      <c r="F128" s="245" t="s">
        <v>352</v>
      </c>
      <c r="G128" s="245" t="s">
        <v>359</v>
      </c>
      <c r="H128" s="246" t="s">
        <v>235</v>
      </c>
      <c r="I128" s="252">
        <f>SUM(B126:B128)</f>
        <v>79620</v>
      </c>
      <c r="J128" s="235">
        <f>K128/I128</f>
        <v>70</v>
      </c>
      <c r="K128" s="235">
        <f>SUM(D126:D128)</f>
        <v>5573400</v>
      </c>
      <c r="L128" s="239"/>
      <c r="M128" s="239"/>
      <c r="N128" s="239"/>
      <c r="O128" s="239"/>
      <c r="P128" s="239"/>
      <c r="Q128" s="240"/>
      <c r="S128" s="229" t="s">
        <v>13</v>
      </c>
    </row>
    <row r="129" spans="2:22" ht="15.6" thickTop="1" thickBot="1" x14ac:dyDescent="0.35">
      <c r="B129" s="247"/>
      <c r="C129" s="248"/>
      <c r="D129" s="249"/>
      <c r="E129" s="250" t="s">
        <v>351</v>
      </c>
      <c r="F129" s="250" t="s">
        <v>360</v>
      </c>
      <c r="G129" s="250" t="s">
        <v>361</v>
      </c>
      <c r="H129" s="251" t="s">
        <v>235</v>
      </c>
      <c r="I129" s="289">
        <f>SUM(B124:B129)</f>
        <v>118820</v>
      </c>
      <c r="J129" s="253">
        <f>K129/I129</f>
        <v>58.958155192728498</v>
      </c>
      <c r="K129" s="253">
        <f>SUM(D124:D129)</f>
        <v>7005408</v>
      </c>
      <c r="L129" s="252"/>
      <c r="M129" s="253"/>
      <c r="N129" s="253"/>
      <c r="O129" s="252">
        <f>I129+L129</f>
        <v>118820</v>
      </c>
      <c r="P129" s="253">
        <f>Q129/O129</f>
        <v>58.958155192728498</v>
      </c>
      <c r="Q129" s="254">
        <f>K129+(N129-N133)</f>
        <v>7005408</v>
      </c>
      <c r="S129" s="234">
        <f>'2022'!H350</f>
        <v>9258</v>
      </c>
      <c r="T129" s="235">
        <f>U129/S129</f>
        <v>43.87</v>
      </c>
      <c r="U129" s="235">
        <f>'2022'!H351</f>
        <v>406148.45999999996</v>
      </c>
    </row>
    <row r="130" spans="2:22" ht="15.6" thickTop="1" thickBot="1" x14ac:dyDescent="0.35">
      <c r="B130" s="255"/>
      <c r="C130" s="256" t="e">
        <f>D130/B130</f>
        <v>#DIV/0!</v>
      </c>
      <c r="D130" s="257"/>
      <c r="E130" s="258" t="s">
        <v>362</v>
      </c>
      <c r="F130" s="258" t="s">
        <v>352</v>
      </c>
      <c r="G130" s="258" t="s">
        <v>355</v>
      </c>
      <c r="H130" s="259" t="s">
        <v>356</v>
      </c>
      <c r="I130" s="260"/>
      <c r="J130" s="261"/>
      <c r="K130" s="261"/>
      <c r="L130" s="260"/>
      <c r="M130" s="261"/>
      <c r="N130" s="261"/>
      <c r="O130" s="260"/>
      <c r="P130" s="261"/>
      <c r="Q130" s="262"/>
      <c r="S130" s="301">
        <f>SUM(O129,S124,S127,S129)</f>
        <v>160447.28544599999</v>
      </c>
      <c r="T130" s="58">
        <f>U130/S130</f>
        <v>54.943310002352639</v>
      </c>
      <c r="U130" s="253">
        <f>Q129+U129+U127+U124</f>
        <v>8815504.9432955403</v>
      </c>
      <c r="V130" s="216" t="s">
        <v>162</v>
      </c>
    </row>
    <row r="131" spans="2:22" ht="15.6" thickTop="1" thickBot="1" x14ac:dyDescent="0.35">
      <c r="B131" s="263">
        <f>'2022'!AG499</f>
        <v>9020</v>
      </c>
      <c r="C131" s="264">
        <f>D131/B131</f>
        <v>216.4079822616408</v>
      </c>
      <c r="D131" s="265">
        <f>'2022'!AI499</f>
        <v>1952000</v>
      </c>
      <c r="E131" s="266" t="s">
        <v>362</v>
      </c>
      <c r="F131" s="266" t="s">
        <v>352</v>
      </c>
      <c r="G131" s="266" t="s">
        <v>357</v>
      </c>
      <c r="H131" s="267" t="s">
        <v>235</v>
      </c>
      <c r="I131" s="260"/>
      <c r="J131" s="261"/>
      <c r="K131" s="261"/>
      <c r="L131" s="260"/>
      <c r="M131" s="261"/>
      <c r="N131" s="261"/>
      <c r="O131" s="260"/>
      <c r="P131" s="261"/>
      <c r="Q131" s="262"/>
      <c r="S131" s="301">
        <f>S130-O133</f>
        <v>151427.28544599999</v>
      </c>
      <c r="T131" s="58">
        <f>U131/S131</f>
        <v>45.325417563158474</v>
      </c>
      <c r="U131" s="253">
        <f>U130-Q133</f>
        <v>6863504.9432955403</v>
      </c>
      <c r="V131" s="216" t="s">
        <v>369</v>
      </c>
    </row>
    <row r="132" spans="2:22" ht="15.6" thickTop="1" thickBot="1" x14ac:dyDescent="0.35">
      <c r="B132" s="263"/>
      <c r="C132" s="264" t="e">
        <f>D132/B132</f>
        <v>#DIV/0!</v>
      </c>
      <c r="D132" s="265"/>
      <c r="E132" s="266" t="s">
        <v>362</v>
      </c>
      <c r="F132" s="266" t="s">
        <v>352</v>
      </c>
      <c r="G132" s="266" t="s">
        <v>358</v>
      </c>
      <c r="H132" s="267" t="s">
        <v>235</v>
      </c>
      <c r="I132" s="260"/>
      <c r="J132" s="261"/>
      <c r="K132" s="261"/>
      <c r="L132" s="260"/>
      <c r="M132" s="261"/>
      <c r="N132" s="261"/>
      <c r="O132" s="260"/>
      <c r="P132" s="261"/>
      <c r="Q132" s="262"/>
    </row>
    <row r="133" spans="2:22" ht="15.6" thickTop="1" thickBot="1" x14ac:dyDescent="0.35">
      <c r="B133" s="268"/>
      <c r="C133" s="269" t="e">
        <f>D133/B133</f>
        <v>#DIV/0!</v>
      </c>
      <c r="D133" s="270"/>
      <c r="E133" s="271" t="s">
        <v>362</v>
      </c>
      <c r="F133" s="271" t="s">
        <v>352</v>
      </c>
      <c r="G133" s="271" t="s">
        <v>359</v>
      </c>
      <c r="H133" s="272" t="s">
        <v>235</v>
      </c>
      <c r="I133" s="291">
        <f>SUM(B130:B133)</f>
        <v>9020</v>
      </c>
      <c r="J133" s="253">
        <f>K133/I133</f>
        <v>216.4079822616408</v>
      </c>
      <c r="K133" s="319">
        <f>SUM(D130:D133)</f>
        <v>1952000</v>
      </c>
      <c r="L133" s="252"/>
      <c r="M133" s="253"/>
      <c r="N133" s="253"/>
      <c r="O133" s="252">
        <f>I133+L133</f>
        <v>9020</v>
      </c>
      <c r="P133" s="253">
        <f>Q133/O133</f>
        <v>216.4079822616408</v>
      </c>
      <c r="Q133" s="254">
        <f>K133</f>
        <v>1952000</v>
      </c>
    </row>
    <row r="134" spans="2:22" ht="15" thickBot="1" x14ac:dyDescent="0.35">
      <c r="B134" s="274" t="s">
        <v>343</v>
      </c>
      <c r="C134" s="275" t="s">
        <v>344</v>
      </c>
      <c r="D134" s="275" t="s">
        <v>345</v>
      </c>
      <c r="E134" s="275" t="s">
        <v>346</v>
      </c>
      <c r="F134" s="276" t="s">
        <v>347</v>
      </c>
      <c r="G134" s="276" t="s">
        <v>348</v>
      </c>
      <c r="H134" s="277" t="s">
        <v>349</v>
      </c>
      <c r="I134" s="278">
        <f>I129-I133</f>
        <v>109800</v>
      </c>
      <c r="J134" s="279"/>
      <c r="K134" s="279"/>
      <c r="L134" s="279"/>
      <c r="M134" s="279"/>
      <c r="N134" s="279"/>
      <c r="O134" s="279"/>
      <c r="P134" s="279"/>
      <c r="Q134" s="279"/>
    </row>
    <row r="135" spans="2:22" ht="15.6" thickTop="1" thickBot="1" x14ac:dyDescent="0.35">
      <c r="B135" s="242"/>
      <c r="C135" s="243" t="e">
        <f>D135/B135</f>
        <v>#DIV/0!</v>
      </c>
      <c r="D135" s="244"/>
      <c r="E135" s="245" t="s">
        <v>351</v>
      </c>
      <c r="F135" s="245" t="s">
        <v>363</v>
      </c>
      <c r="G135" s="245" t="s">
        <v>357</v>
      </c>
      <c r="H135" s="280" t="s">
        <v>235</v>
      </c>
      <c r="I135" s="281" t="s">
        <v>364</v>
      </c>
      <c r="J135" s="279"/>
      <c r="K135" s="253">
        <f>(Q135/O135)*-1</f>
        <v>-46.023752276867029</v>
      </c>
      <c r="L135" s="279"/>
      <c r="M135" s="282" t="s">
        <v>365</v>
      </c>
      <c r="N135" s="290">
        <f>N129-N133</f>
        <v>0</v>
      </c>
      <c r="O135" s="252">
        <f>O129-O133</f>
        <v>109800</v>
      </c>
      <c r="P135" s="282" t="s">
        <v>366</v>
      </c>
      <c r="Q135" s="292">
        <f>Q129-Q133</f>
        <v>5053408</v>
      </c>
    </row>
    <row r="136" spans="2:22" ht="15" thickBot="1" x14ac:dyDescent="0.35">
      <c r="B136" s="284"/>
      <c r="C136" s="284"/>
      <c r="D136" s="284"/>
      <c r="E136" s="284"/>
      <c r="F136" s="284"/>
      <c r="G136" s="284"/>
      <c r="H136" s="284"/>
      <c r="I136" s="284"/>
      <c r="J136" s="284"/>
      <c r="K136" s="284"/>
      <c r="L136" s="284"/>
      <c r="M136" s="284"/>
      <c r="N136" s="284"/>
      <c r="O136" s="284"/>
      <c r="P136" s="284"/>
      <c r="Q136" s="284"/>
    </row>
    <row r="137" spans="2:22" ht="15" thickBot="1" x14ac:dyDescent="0.35">
      <c r="B137" s="493" t="s">
        <v>424</v>
      </c>
      <c r="C137" s="494"/>
      <c r="D137" s="494"/>
      <c r="E137" s="494"/>
      <c r="F137" s="494"/>
      <c r="G137" s="494"/>
      <c r="H137" s="495"/>
      <c r="I137" s="496" t="s">
        <v>340</v>
      </c>
      <c r="J137" s="497"/>
      <c r="K137" s="498"/>
      <c r="L137" s="496" t="s">
        <v>341</v>
      </c>
      <c r="M137" s="497"/>
      <c r="N137" s="498"/>
      <c r="O137" s="496" t="s">
        <v>342</v>
      </c>
      <c r="P137" s="497"/>
      <c r="Q137" s="499"/>
    </row>
    <row r="138" spans="2:22" ht="15.6" thickTop="1" thickBot="1" x14ac:dyDescent="0.35">
      <c r="B138" s="222" t="s">
        <v>343</v>
      </c>
      <c r="C138" s="223" t="s">
        <v>344</v>
      </c>
      <c r="D138" s="223" t="s">
        <v>345</v>
      </c>
      <c r="E138" s="223" t="s">
        <v>346</v>
      </c>
      <c r="F138" s="224" t="s">
        <v>347</v>
      </c>
      <c r="G138" s="224" t="s">
        <v>348</v>
      </c>
      <c r="H138" s="225" t="s">
        <v>349</v>
      </c>
      <c r="I138" s="226" t="s">
        <v>343</v>
      </c>
      <c r="J138" s="227" t="s">
        <v>344</v>
      </c>
      <c r="K138" s="227" t="s">
        <v>345</v>
      </c>
      <c r="L138" s="226" t="s">
        <v>343</v>
      </c>
      <c r="M138" s="227" t="s">
        <v>344</v>
      </c>
      <c r="N138" s="227" t="s">
        <v>345</v>
      </c>
      <c r="O138" s="226" t="s">
        <v>343</v>
      </c>
      <c r="P138" s="227" t="s">
        <v>344</v>
      </c>
      <c r="Q138" s="228" t="s">
        <v>345</v>
      </c>
      <c r="S138" s="229" t="s">
        <v>350</v>
      </c>
    </row>
    <row r="139" spans="2:22" ht="15.6" thickTop="1" thickBot="1" x14ac:dyDescent="0.35">
      <c r="B139" s="230"/>
      <c r="C139" s="231" t="e">
        <f>D139/B139</f>
        <v>#DIV/0!</v>
      </c>
      <c r="D139" s="232"/>
      <c r="E139" s="233" t="s">
        <v>351</v>
      </c>
      <c r="F139" s="233" t="s">
        <v>352</v>
      </c>
      <c r="G139" s="233" t="s">
        <v>353</v>
      </c>
      <c r="H139" s="229" t="s">
        <v>354</v>
      </c>
      <c r="I139" s="234"/>
      <c r="J139" s="235"/>
      <c r="K139" s="235"/>
      <c r="L139" s="236"/>
      <c r="M139" s="236"/>
      <c r="N139" s="236"/>
      <c r="O139" s="236"/>
      <c r="P139" s="236"/>
      <c r="Q139" s="237"/>
      <c r="S139" s="234">
        <f>'2022'!G389</f>
        <v>26040</v>
      </c>
      <c r="T139" s="235">
        <f>U139/S139</f>
        <v>43.710356250000004</v>
      </c>
      <c r="U139" s="235">
        <f>'2022'!G390</f>
        <v>1138217.6767500001</v>
      </c>
    </row>
    <row r="140" spans="2:22" ht="15.6" thickTop="1" thickBot="1" x14ac:dyDescent="0.35">
      <c r="B140" s="230">
        <f>'2022'!J394</f>
        <v>115040</v>
      </c>
      <c r="C140" s="231">
        <f>D140/B140</f>
        <v>26.796540333796941</v>
      </c>
      <c r="D140" s="232">
        <f>'2022'!J395</f>
        <v>3082674</v>
      </c>
      <c r="E140" s="233" t="s">
        <v>351</v>
      </c>
      <c r="F140" s="233" t="s">
        <v>352</v>
      </c>
      <c r="G140" s="233" t="s">
        <v>355</v>
      </c>
      <c r="H140" s="229" t="s">
        <v>356</v>
      </c>
      <c r="I140" s="234">
        <f>SUM(B139:B140)</f>
        <v>115040</v>
      </c>
      <c r="J140" s="235">
        <f>K140/I140</f>
        <v>26.796540333796941</v>
      </c>
      <c r="K140" s="235">
        <f>SUM(D139:D140)</f>
        <v>3082674</v>
      </c>
      <c r="L140" s="236"/>
      <c r="M140" s="236"/>
      <c r="N140" s="236"/>
      <c r="O140" s="236"/>
      <c r="P140" s="236"/>
      <c r="Q140" s="237"/>
      <c r="S140" s="229" t="s">
        <v>11</v>
      </c>
    </row>
    <row r="141" spans="2:22" ht="15.6" thickTop="1" thickBot="1" x14ac:dyDescent="0.35">
      <c r="B141" s="242">
        <f>'2022'!X393</f>
        <v>34660</v>
      </c>
      <c r="C141" s="243">
        <f>D141/B141</f>
        <v>40</v>
      </c>
      <c r="D141" s="244">
        <f>'2022'!X394</f>
        <v>1386400</v>
      </c>
      <c r="E141" s="245" t="s">
        <v>351</v>
      </c>
      <c r="F141" s="245" t="s">
        <v>352</v>
      </c>
      <c r="G141" s="245" t="s">
        <v>357</v>
      </c>
      <c r="H141" s="246" t="s">
        <v>235</v>
      </c>
      <c r="I141" s="238"/>
      <c r="J141" s="239"/>
      <c r="K141" s="239"/>
      <c r="L141" s="239"/>
      <c r="M141" s="239"/>
      <c r="N141" s="239"/>
      <c r="O141" s="239"/>
      <c r="P141" s="239"/>
      <c r="Q141" s="240"/>
      <c r="S141" s="241"/>
    </row>
    <row r="142" spans="2:22" ht="15.6" thickTop="1" thickBot="1" x14ac:dyDescent="0.35">
      <c r="B142" s="242"/>
      <c r="C142" s="243" t="e">
        <f>D142/B142</f>
        <v>#DIV/0!</v>
      </c>
      <c r="D142" s="244"/>
      <c r="E142" s="245" t="s">
        <v>351</v>
      </c>
      <c r="F142" s="245" t="s">
        <v>352</v>
      </c>
      <c r="G142" s="245" t="s">
        <v>358</v>
      </c>
      <c r="H142" s="246" t="s">
        <v>235</v>
      </c>
      <c r="I142" s="238"/>
      <c r="J142" s="239"/>
      <c r="K142" s="239"/>
      <c r="L142" s="239"/>
      <c r="M142" s="239"/>
      <c r="N142" s="239"/>
      <c r="O142" s="239"/>
      <c r="P142" s="239"/>
      <c r="Q142" s="240"/>
      <c r="S142" s="234">
        <f>'2022'!F389</f>
        <v>6662.2561479999977</v>
      </c>
      <c r="T142" s="235">
        <f>U142/S142</f>
        <v>24.99</v>
      </c>
      <c r="U142" s="235">
        <f>'2022'!F390</f>
        <v>166489.78113851993</v>
      </c>
    </row>
    <row r="143" spans="2:22" ht="15.6" thickTop="1" thickBot="1" x14ac:dyDescent="0.35">
      <c r="B143" s="242"/>
      <c r="C143" s="243" t="e">
        <f>D143/B143</f>
        <v>#DIV/0!</v>
      </c>
      <c r="D143" s="244"/>
      <c r="E143" s="245" t="s">
        <v>351</v>
      </c>
      <c r="F143" s="245" t="s">
        <v>352</v>
      </c>
      <c r="G143" s="245" t="s">
        <v>359</v>
      </c>
      <c r="H143" s="246" t="s">
        <v>235</v>
      </c>
      <c r="I143" s="234">
        <f>SUM(B141:B143)</f>
        <v>34660</v>
      </c>
      <c r="J143" s="235">
        <f>K143/I143</f>
        <v>40</v>
      </c>
      <c r="K143" s="235">
        <f>SUM(D141:D143)</f>
        <v>1386400</v>
      </c>
      <c r="L143" s="239"/>
      <c r="M143" s="239"/>
      <c r="N143" s="239"/>
      <c r="O143" s="239"/>
      <c r="P143" s="239"/>
      <c r="Q143" s="240"/>
      <c r="S143" s="229" t="s">
        <v>13</v>
      </c>
    </row>
    <row r="144" spans="2:22" ht="15.6" thickTop="1" thickBot="1" x14ac:dyDescent="0.35">
      <c r="B144" s="247"/>
      <c r="C144" s="248"/>
      <c r="D144" s="249"/>
      <c r="E144" s="250" t="s">
        <v>351</v>
      </c>
      <c r="F144" s="250" t="s">
        <v>360</v>
      </c>
      <c r="G144" s="250" t="s">
        <v>361</v>
      </c>
      <c r="H144" s="251" t="s">
        <v>235</v>
      </c>
      <c r="I144" s="252">
        <f>SUM(B139:B144)</f>
        <v>149700</v>
      </c>
      <c r="J144" s="253">
        <f>K144/I144</f>
        <v>29.853533734134938</v>
      </c>
      <c r="K144" s="253">
        <f>SUM(D139:D144)</f>
        <v>4469074</v>
      </c>
      <c r="L144" s="252"/>
      <c r="M144" s="253"/>
      <c r="N144" s="253"/>
      <c r="O144" s="252">
        <f>I144+L144</f>
        <v>149700</v>
      </c>
      <c r="P144" s="253">
        <f>Q144/O144</f>
        <v>29.853533734134938</v>
      </c>
      <c r="Q144" s="254">
        <f>K144+(N144-N148)</f>
        <v>4469074</v>
      </c>
      <c r="S144" s="234">
        <f>'2022'!H389</f>
        <v>11604</v>
      </c>
      <c r="T144" s="235">
        <f>U144/S144</f>
        <v>43.87</v>
      </c>
      <c r="U144" s="235">
        <f>'2022'!H390</f>
        <v>509067.48</v>
      </c>
    </row>
    <row r="145" spans="2:22" ht="15.6" thickTop="1" thickBot="1" x14ac:dyDescent="0.35">
      <c r="B145" s="255"/>
      <c r="C145" s="256" t="e">
        <f>D145/B145</f>
        <v>#DIV/0!</v>
      </c>
      <c r="D145" s="257"/>
      <c r="E145" s="258" t="s">
        <v>362</v>
      </c>
      <c r="F145" s="258" t="s">
        <v>352</v>
      </c>
      <c r="G145" s="258" t="s">
        <v>355</v>
      </c>
      <c r="H145" s="259" t="s">
        <v>356</v>
      </c>
      <c r="I145" s="260"/>
      <c r="J145" s="261"/>
      <c r="K145" s="261"/>
      <c r="L145" s="260"/>
      <c r="M145" s="261"/>
      <c r="N145" s="261"/>
      <c r="O145" s="260"/>
      <c r="P145" s="261"/>
      <c r="Q145" s="262"/>
      <c r="S145" s="301">
        <f>SUM(O144,S139,S142,S144)</f>
        <v>194006.25614799999</v>
      </c>
      <c r="T145" s="58">
        <f>U145/S145</f>
        <v>32.384774917235525</v>
      </c>
      <c r="U145" s="253">
        <f>Q144+U144+U142+U139</f>
        <v>6282848.9378885198</v>
      </c>
      <c r="V145" s="216" t="s">
        <v>162</v>
      </c>
    </row>
    <row r="146" spans="2:22" ht="15.6" thickTop="1" thickBot="1" x14ac:dyDescent="0.35">
      <c r="B146" s="263">
        <f>'2022'!AG500</f>
        <v>63057</v>
      </c>
      <c r="C146" s="264">
        <f>D146/B146</f>
        <v>50</v>
      </c>
      <c r="D146" s="265">
        <f>'2022'!AI500</f>
        <v>3152850</v>
      </c>
      <c r="E146" s="266" t="s">
        <v>362</v>
      </c>
      <c r="F146" s="266" t="s">
        <v>352</v>
      </c>
      <c r="G146" s="266" t="s">
        <v>357</v>
      </c>
      <c r="H146" s="267" t="s">
        <v>235</v>
      </c>
      <c r="I146" s="260"/>
      <c r="J146" s="261"/>
      <c r="K146" s="261"/>
      <c r="L146" s="260"/>
      <c r="M146" s="261"/>
      <c r="N146" s="261"/>
      <c r="O146" s="260"/>
      <c r="P146" s="261"/>
      <c r="Q146" s="262"/>
      <c r="S146" s="301">
        <f>S145-O148</f>
        <v>130949.25614799999</v>
      </c>
      <c r="T146" s="58">
        <f>U146/S146</f>
        <v>23.90238043315777</v>
      </c>
      <c r="U146" s="253">
        <f>U145-Q148</f>
        <v>3129998.9378885198</v>
      </c>
      <c r="V146" s="216" t="s">
        <v>369</v>
      </c>
    </row>
    <row r="147" spans="2:22" ht="15.6" thickTop="1" thickBot="1" x14ac:dyDescent="0.35">
      <c r="B147" s="263"/>
      <c r="C147" s="264" t="e">
        <f>D147/B147</f>
        <v>#DIV/0!</v>
      </c>
      <c r="D147" s="265"/>
      <c r="E147" s="266" t="s">
        <v>362</v>
      </c>
      <c r="F147" s="266" t="s">
        <v>352</v>
      </c>
      <c r="G147" s="266" t="s">
        <v>358</v>
      </c>
      <c r="H147" s="267" t="s">
        <v>235</v>
      </c>
      <c r="I147" s="260"/>
      <c r="J147" s="261"/>
      <c r="K147" s="261"/>
      <c r="L147" s="260"/>
      <c r="M147" s="261"/>
      <c r="N147" s="261"/>
      <c r="O147" s="260"/>
      <c r="P147" s="261"/>
      <c r="Q147" s="262"/>
    </row>
    <row r="148" spans="2:22" ht="15.6" thickTop="1" thickBot="1" x14ac:dyDescent="0.35">
      <c r="B148" s="268"/>
      <c r="C148" s="269" t="e">
        <f>D148/B148</f>
        <v>#DIV/0!</v>
      </c>
      <c r="D148" s="270"/>
      <c r="E148" s="271" t="s">
        <v>362</v>
      </c>
      <c r="F148" s="271" t="s">
        <v>352</v>
      </c>
      <c r="G148" s="271" t="s">
        <v>359</v>
      </c>
      <c r="H148" s="272" t="s">
        <v>235</v>
      </c>
      <c r="I148" s="273">
        <f>SUM(B145:B148)</f>
        <v>63057</v>
      </c>
      <c r="J148" s="253">
        <f>K148/I148</f>
        <v>50</v>
      </c>
      <c r="K148" s="253">
        <f>SUM(D145:D148)</f>
        <v>3152850</v>
      </c>
      <c r="L148" s="252"/>
      <c r="M148" s="253"/>
      <c r="N148" s="253"/>
      <c r="O148" s="252">
        <f>I148+L148</f>
        <v>63057</v>
      </c>
      <c r="P148" s="253">
        <f>Q148/O148</f>
        <v>50</v>
      </c>
      <c r="Q148" s="254">
        <f>K148</f>
        <v>3152850</v>
      </c>
    </row>
    <row r="149" spans="2:22" ht="15" thickBot="1" x14ac:dyDescent="0.35">
      <c r="B149" s="274" t="s">
        <v>343</v>
      </c>
      <c r="C149" s="275" t="s">
        <v>344</v>
      </c>
      <c r="D149" s="275" t="s">
        <v>345</v>
      </c>
      <c r="E149" s="275" t="s">
        <v>346</v>
      </c>
      <c r="F149" s="276" t="s">
        <v>347</v>
      </c>
      <c r="G149" s="276" t="s">
        <v>348</v>
      </c>
      <c r="H149" s="277" t="s">
        <v>349</v>
      </c>
      <c r="I149" s="293">
        <f>I144-I148</f>
        <v>86643</v>
      </c>
      <c r="J149" s="279"/>
      <c r="K149" s="279"/>
      <c r="L149" s="279"/>
      <c r="M149" s="279"/>
      <c r="N149" s="279"/>
      <c r="O149" s="279"/>
      <c r="P149" s="279"/>
      <c r="Q149" s="279"/>
    </row>
    <row r="150" spans="2:22" ht="15.6" thickTop="1" thickBot="1" x14ac:dyDescent="0.35">
      <c r="B150" s="242"/>
      <c r="C150" s="243" t="e">
        <f>D150/B150</f>
        <v>#DIV/0!</v>
      </c>
      <c r="D150" s="244"/>
      <c r="E150" s="245" t="s">
        <v>351</v>
      </c>
      <c r="F150" s="245" t="s">
        <v>363</v>
      </c>
      <c r="G150" s="245" t="s">
        <v>357</v>
      </c>
      <c r="H150" s="280" t="s">
        <v>235</v>
      </c>
      <c r="I150" s="281" t="s">
        <v>364</v>
      </c>
      <c r="J150" s="279"/>
      <c r="K150" s="253">
        <f>(Q150/O150)*-1</f>
        <v>-15.191348406680286</v>
      </c>
      <c r="L150" s="279"/>
      <c r="M150" s="282" t="s">
        <v>365</v>
      </c>
      <c r="N150" s="253">
        <f>N144-N148</f>
        <v>0</v>
      </c>
      <c r="O150" s="252">
        <f>O144-O148</f>
        <v>86643</v>
      </c>
      <c r="P150" s="282" t="s">
        <v>366</v>
      </c>
      <c r="Q150" s="283">
        <f>Q144-Q148</f>
        <v>1316224</v>
      </c>
    </row>
    <row r="151" spans="2:22" ht="15" thickBot="1" x14ac:dyDescent="0.35">
      <c r="B151" s="284"/>
      <c r="C151" s="284"/>
      <c r="D151" s="284"/>
      <c r="E151" s="284"/>
      <c r="F151" s="284"/>
      <c r="G151" s="284"/>
      <c r="H151" s="284"/>
      <c r="I151" s="284"/>
      <c r="J151" s="284"/>
      <c r="K151" s="284"/>
      <c r="L151" s="284"/>
      <c r="M151" s="284"/>
      <c r="N151" s="284"/>
      <c r="O151" s="284"/>
      <c r="P151" s="284"/>
      <c r="Q151" s="284"/>
    </row>
    <row r="152" spans="2:22" ht="15" thickBot="1" x14ac:dyDescent="0.35">
      <c r="B152" s="500" t="s">
        <v>425</v>
      </c>
      <c r="C152" s="501"/>
      <c r="D152" s="501"/>
      <c r="E152" s="501"/>
      <c r="F152" s="501"/>
      <c r="G152" s="501"/>
      <c r="H152" s="501"/>
      <c r="I152" s="496" t="s">
        <v>340</v>
      </c>
      <c r="J152" s="497"/>
      <c r="K152" s="498"/>
      <c r="L152" s="496" t="s">
        <v>341</v>
      </c>
      <c r="M152" s="497"/>
      <c r="N152" s="498"/>
      <c r="O152" s="496" t="s">
        <v>342</v>
      </c>
      <c r="P152" s="497"/>
      <c r="Q152" s="499"/>
    </row>
    <row r="153" spans="2:22" ht="15.6" thickTop="1" thickBot="1" x14ac:dyDescent="0.35">
      <c r="B153" s="222" t="s">
        <v>343</v>
      </c>
      <c r="C153" s="223" t="s">
        <v>344</v>
      </c>
      <c r="D153" s="223" t="s">
        <v>345</v>
      </c>
      <c r="E153" s="223" t="s">
        <v>346</v>
      </c>
      <c r="F153" s="224" t="s">
        <v>347</v>
      </c>
      <c r="G153" s="224" t="s">
        <v>348</v>
      </c>
      <c r="H153" s="225" t="s">
        <v>349</v>
      </c>
      <c r="I153" s="226" t="s">
        <v>343</v>
      </c>
      <c r="J153" s="227" t="s">
        <v>344</v>
      </c>
      <c r="K153" s="227" t="s">
        <v>345</v>
      </c>
      <c r="L153" s="226" t="s">
        <v>343</v>
      </c>
      <c r="M153" s="227" t="s">
        <v>344</v>
      </c>
      <c r="N153" s="227" t="s">
        <v>345</v>
      </c>
      <c r="O153" s="226" t="s">
        <v>343</v>
      </c>
      <c r="P153" s="227" t="s">
        <v>344</v>
      </c>
      <c r="Q153" s="228" t="s">
        <v>345</v>
      </c>
      <c r="S153" s="229" t="s">
        <v>350</v>
      </c>
    </row>
    <row r="154" spans="2:22" ht="15.6" thickTop="1" thickBot="1" x14ac:dyDescent="0.35">
      <c r="B154" s="230"/>
      <c r="C154" s="231" t="e">
        <f>D154/B154</f>
        <v>#DIV/0!</v>
      </c>
      <c r="D154" s="232"/>
      <c r="E154" s="233" t="s">
        <v>351</v>
      </c>
      <c r="F154" s="233" t="s">
        <v>352</v>
      </c>
      <c r="G154" s="233" t="s">
        <v>353</v>
      </c>
      <c r="H154" s="229" t="s">
        <v>354</v>
      </c>
      <c r="I154" s="234"/>
      <c r="J154" s="235"/>
      <c r="K154" s="235"/>
      <c r="L154" s="236"/>
      <c r="M154" s="236"/>
      <c r="N154" s="236"/>
      <c r="O154" s="236"/>
      <c r="P154" s="236"/>
      <c r="Q154" s="237"/>
      <c r="S154" s="234">
        <f>'2022'!G428</f>
        <v>25200</v>
      </c>
      <c r="T154" s="235">
        <f>U154/S154</f>
        <v>48.474900000000005</v>
      </c>
      <c r="U154" s="235">
        <f>'2022'!G429</f>
        <v>1221567.4800000002</v>
      </c>
    </row>
    <row r="155" spans="2:22" ht="15.6" thickTop="1" thickBot="1" x14ac:dyDescent="0.35">
      <c r="B155" s="230">
        <f>'2022'!J433</f>
        <v>111600</v>
      </c>
      <c r="C155" s="231">
        <f>D155/B155</f>
        <v>26.788172043010753</v>
      </c>
      <c r="D155" s="232">
        <f>'2022'!J434</f>
        <v>2989560</v>
      </c>
      <c r="E155" s="233" t="s">
        <v>351</v>
      </c>
      <c r="F155" s="233" t="s">
        <v>352</v>
      </c>
      <c r="G155" s="233" t="s">
        <v>355</v>
      </c>
      <c r="H155" s="229" t="s">
        <v>356</v>
      </c>
      <c r="I155" s="234">
        <f>SUM(B154:B155)</f>
        <v>111600</v>
      </c>
      <c r="J155" s="235">
        <f>K155/I155</f>
        <v>26.788172043010753</v>
      </c>
      <c r="K155" s="235">
        <f>SUM(D154:D155)</f>
        <v>2989560</v>
      </c>
      <c r="L155" s="236"/>
      <c r="M155" s="236"/>
      <c r="N155" s="236"/>
      <c r="O155" s="236"/>
      <c r="P155" s="236"/>
      <c r="Q155" s="237"/>
      <c r="S155" s="229" t="s">
        <v>11</v>
      </c>
    </row>
    <row r="156" spans="2:22" ht="15.6" thickTop="1" thickBot="1" x14ac:dyDescent="0.35">
      <c r="B156" s="242">
        <f>'2022'!X432</f>
        <v>28170</v>
      </c>
      <c r="C156" s="243">
        <f>D156/B156</f>
        <v>40</v>
      </c>
      <c r="D156" s="244">
        <f>'2022'!X433</f>
        <v>1126800</v>
      </c>
      <c r="E156" s="245" t="s">
        <v>351</v>
      </c>
      <c r="F156" s="245" t="s">
        <v>352</v>
      </c>
      <c r="G156" s="245" t="s">
        <v>357</v>
      </c>
      <c r="H156" s="246" t="s">
        <v>235</v>
      </c>
      <c r="I156" s="238"/>
      <c r="J156" s="239"/>
      <c r="K156" s="239"/>
      <c r="L156" s="239"/>
      <c r="M156" s="239"/>
      <c r="N156" s="239"/>
      <c r="O156" s="239"/>
      <c r="P156" s="239"/>
      <c r="Q156" s="240"/>
      <c r="S156" s="241"/>
    </row>
    <row r="157" spans="2:22" ht="15.6" thickTop="1" thickBot="1" x14ac:dyDescent="0.35">
      <c r="B157" s="242"/>
      <c r="C157" s="243" t="e">
        <f>D157/B157</f>
        <v>#DIV/0!</v>
      </c>
      <c r="D157" s="244"/>
      <c r="E157" s="245" t="s">
        <v>351</v>
      </c>
      <c r="F157" s="245" t="s">
        <v>352</v>
      </c>
      <c r="G157" s="245" t="s">
        <v>358</v>
      </c>
      <c r="H157" s="246" t="s">
        <v>235</v>
      </c>
      <c r="I157" s="238"/>
      <c r="J157" s="239"/>
      <c r="K157" s="239"/>
      <c r="L157" s="239"/>
      <c r="M157" s="239"/>
      <c r="N157" s="239"/>
      <c r="O157" s="239"/>
      <c r="P157" s="239"/>
      <c r="Q157" s="240"/>
      <c r="S157" s="234">
        <f>'2022'!F428</f>
        <v>5360.6315420000001</v>
      </c>
      <c r="T157" s="235">
        <f>U157/S157</f>
        <v>24.99</v>
      </c>
      <c r="U157" s="235">
        <f>'2022'!F429</f>
        <v>133962.18223457999</v>
      </c>
    </row>
    <row r="158" spans="2:22" ht="15.6" thickTop="1" thickBot="1" x14ac:dyDescent="0.35">
      <c r="B158" s="242"/>
      <c r="C158" s="243" t="e">
        <f>D158/B158</f>
        <v>#DIV/0!</v>
      </c>
      <c r="D158" s="244"/>
      <c r="E158" s="245" t="s">
        <v>351</v>
      </c>
      <c r="F158" s="245" t="s">
        <v>352</v>
      </c>
      <c r="G158" s="245" t="s">
        <v>359</v>
      </c>
      <c r="H158" s="246" t="s">
        <v>235</v>
      </c>
      <c r="I158" s="234">
        <f>SUM(B156:B158)</f>
        <v>28170</v>
      </c>
      <c r="J158" s="235">
        <f>K158/I158</f>
        <v>40</v>
      </c>
      <c r="K158" s="235">
        <f>SUM(D156:D158)</f>
        <v>1126800</v>
      </c>
      <c r="L158" s="239"/>
      <c r="M158" s="239"/>
      <c r="N158" s="239"/>
      <c r="O158" s="239"/>
      <c r="P158" s="239"/>
      <c r="Q158" s="240"/>
      <c r="S158" s="229" t="s">
        <v>13</v>
      </c>
    </row>
    <row r="159" spans="2:22" ht="15.6" thickTop="1" thickBot="1" x14ac:dyDescent="0.35">
      <c r="B159" s="247"/>
      <c r="C159" s="248"/>
      <c r="D159" s="249"/>
      <c r="E159" s="250" t="s">
        <v>351</v>
      </c>
      <c r="F159" s="250" t="s">
        <v>360</v>
      </c>
      <c r="G159" s="250" t="s">
        <v>361</v>
      </c>
      <c r="H159" s="251" t="s">
        <v>235</v>
      </c>
      <c r="I159" s="252">
        <f>SUM(B154:B159)</f>
        <v>139770</v>
      </c>
      <c r="J159" s="253">
        <f>K159/I159</f>
        <v>29.45095514058811</v>
      </c>
      <c r="K159" s="253">
        <f>SUM(D154:D159)</f>
        <v>4116360</v>
      </c>
      <c r="L159" s="252">
        <v>0</v>
      </c>
      <c r="M159" s="253" t="e">
        <f>N159/L159</f>
        <v>#DIV/0!</v>
      </c>
      <c r="N159" s="253">
        <v>0</v>
      </c>
      <c r="O159" s="252">
        <f>I159+L159</f>
        <v>139770</v>
      </c>
      <c r="P159" s="253">
        <f>Q159/O159</f>
        <v>29.45095514058811</v>
      </c>
      <c r="Q159" s="254">
        <f>K159+(N159-N163)</f>
        <v>4116360</v>
      </c>
      <c r="S159" s="234">
        <f>'2022'!H428</f>
        <v>10859</v>
      </c>
      <c r="T159" s="235">
        <f>U159/S159</f>
        <v>43.87</v>
      </c>
      <c r="U159" s="235">
        <f>'2022'!H429</f>
        <v>476384.32999999996</v>
      </c>
    </row>
    <row r="160" spans="2:22" ht="15.6" thickTop="1" thickBot="1" x14ac:dyDescent="0.35">
      <c r="B160" s="255"/>
      <c r="C160" s="256" t="e">
        <f>D160/B160</f>
        <v>#DIV/0!</v>
      </c>
      <c r="D160" s="257"/>
      <c r="E160" s="258" t="s">
        <v>362</v>
      </c>
      <c r="F160" s="258" t="s">
        <v>352</v>
      </c>
      <c r="G160" s="258" t="s">
        <v>355</v>
      </c>
      <c r="H160" s="259" t="s">
        <v>356</v>
      </c>
      <c r="I160" s="260"/>
      <c r="J160" s="261"/>
      <c r="K160" s="261"/>
      <c r="L160" s="260"/>
      <c r="M160" s="261"/>
      <c r="N160" s="261"/>
      <c r="O160" s="260"/>
      <c r="P160" s="261"/>
      <c r="Q160" s="262"/>
      <c r="S160" s="301">
        <f>SUM(O159,S154,S157,S159)</f>
        <v>181189.63154199999</v>
      </c>
      <c r="T160" s="58">
        <f>U160/S160</f>
        <v>32.828997672837382</v>
      </c>
      <c r="U160" s="253">
        <f>Q159+U159+U157+U154</f>
        <v>5948273.9922345802</v>
      </c>
      <c r="V160" s="216" t="s">
        <v>162</v>
      </c>
    </row>
    <row r="161" spans="2:22" ht="15.6" thickTop="1" thickBot="1" x14ac:dyDescent="0.35">
      <c r="B161" s="263">
        <f>'2022'!AG501</f>
        <v>74220</v>
      </c>
      <c r="C161" s="264">
        <f>D161/B161</f>
        <v>50</v>
      </c>
      <c r="D161" s="265">
        <f>'2022'!AI501</f>
        <v>3711000</v>
      </c>
      <c r="E161" s="266" t="s">
        <v>362</v>
      </c>
      <c r="F161" s="266" t="s">
        <v>352</v>
      </c>
      <c r="G161" s="266" t="s">
        <v>357</v>
      </c>
      <c r="H161" s="267" t="s">
        <v>235</v>
      </c>
      <c r="I161" s="260"/>
      <c r="J161" s="261"/>
      <c r="K161" s="261"/>
      <c r="L161" s="260"/>
      <c r="M161" s="261"/>
      <c r="N161" s="261"/>
      <c r="O161" s="260"/>
      <c r="P161" s="261"/>
      <c r="Q161" s="262"/>
      <c r="S161" s="301">
        <f>S160-O163</f>
        <v>106969.63154199999</v>
      </c>
      <c r="T161" s="58">
        <f>U161/S161</f>
        <v>20.915038782349633</v>
      </c>
      <c r="U161" s="253">
        <f>U160-Q163</f>
        <v>2237273.9922345802</v>
      </c>
      <c r="V161" s="216" t="s">
        <v>369</v>
      </c>
    </row>
    <row r="162" spans="2:22" ht="15.6" thickTop="1" thickBot="1" x14ac:dyDescent="0.35">
      <c r="B162" s="263"/>
      <c r="C162" s="264" t="e">
        <f>D162/B162</f>
        <v>#DIV/0!</v>
      </c>
      <c r="D162" s="265"/>
      <c r="E162" s="266" t="s">
        <v>362</v>
      </c>
      <c r="F162" s="266" t="s">
        <v>352</v>
      </c>
      <c r="G162" s="266" t="s">
        <v>358</v>
      </c>
      <c r="H162" s="267" t="s">
        <v>235</v>
      </c>
      <c r="I162" s="260"/>
      <c r="J162" s="261"/>
      <c r="K162" s="261"/>
      <c r="L162" s="260"/>
      <c r="M162" s="261"/>
      <c r="N162" s="261"/>
      <c r="O162" s="260"/>
      <c r="P162" s="261"/>
      <c r="Q162" s="262"/>
    </row>
    <row r="163" spans="2:22" ht="15.6" thickTop="1" thickBot="1" x14ac:dyDescent="0.35">
      <c r="B163" s="268"/>
      <c r="C163" s="269" t="e">
        <f>D163/B163</f>
        <v>#DIV/0!</v>
      </c>
      <c r="D163" s="270"/>
      <c r="E163" s="271" t="s">
        <v>362</v>
      </c>
      <c r="F163" s="271" t="s">
        <v>352</v>
      </c>
      <c r="G163" s="271" t="s">
        <v>359</v>
      </c>
      <c r="H163" s="272" t="s">
        <v>235</v>
      </c>
      <c r="I163" s="273">
        <f>SUM(B160:B163)</f>
        <v>74220</v>
      </c>
      <c r="J163" s="253">
        <f>K163/I163</f>
        <v>50</v>
      </c>
      <c r="K163" s="253">
        <f>SUM(D160:D163)</f>
        <v>3711000</v>
      </c>
      <c r="L163" s="252">
        <v>0</v>
      </c>
      <c r="M163" s="253" t="e">
        <f>N163/L163</f>
        <v>#DIV/0!</v>
      </c>
      <c r="N163" s="253">
        <v>0</v>
      </c>
      <c r="O163" s="252">
        <f>I163+L163</f>
        <v>74220</v>
      </c>
      <c r="P163" s="253">
        <f>Q163/O163</f>
        <v>50</v>
      </c>
      <c r="Q163" s="254">
        <f>K163</f>
        <v>3711000</v>
      </c>
    </row>
    <row r="164" spans="2:22" ht="15" thickBot="1" x14ac:dyDescent="0.35">
      <c r="B164" s="274" t="s">
        <v>343</v>
      </c>
      <c r="C164" s="275" t="s">
        <v>344</v>
      </c>
      <c r="D164" s="275" t="s">
        <v>345</v>
      </c>
      <c r="E164" s="275" t="s">
        <v>346</v>
      </c>
      <c r="F164" s="276" t="s">
        <v>347</v>
      </c>
      <c r="G164" s="276" t="s">
        <v>348</v>
      </c>
      <c r="H164" s="277" t="s">
        <v>349</v>
      </c>
      <c r="I164" s="293">
        <f>I159-I163</f>
        <v>65550</v>
      </c>
      <c r="J164" s="279"/>
      <c r="K164" s="279"/>
      <c r="L164" s="279"/>
      <c r="M164" s="279"/>
      <c r="N164" s="279"/>
      <c r="O164" s="279"/>
      <c r="P164" s="279"/>
      <c r="Q164" s="279"/>
    </row>
    <row r="165" spans="2:22" ht="15.6" thickTop="1" thickBot="1" x14ac:dyDescent="0.35">
      <c r="B165" s="242"/>
      <c r="C165" s="243" t="e">
        <f>D165/B165</f>
        <v>#DIV/0!</v>
      </c>
      <c r="D165" s="244"/>
      <c r="E165" s="245" t="s">
        <v>351</v>
      </c>
      <c r="F165" s="245" t="s">
        <v>363</v>
      </c>
      <c r="G165" s="245" t="s">
        <v>357</v>
      </c>
      <c r="H165" s="280" t="s">
        <v>235</v>
      </c>
      <c r="I165" s="281" t="s">
        <v>364</v>
      </c>
      <c r="J165" s="279"/>
      <c r="K165" s="253">
        <f>(Q165/O165)*-1</f>
        <v>-6.1839816933638447</v>
      </c>
      <c r="L165" s="279"/>
      <c r="M165" s="282" t="s">
        <v>365</v>
      </c>
      <c r="N165" s="253">
        <f>N159-N163</f>
        <v>0</v>
      </c>
      <c r="O165" s="252">
        <f>O159-O163</f>
        <v>65550</v>
      </c>
      <c r="P165" s="282" t="s">
        <v>366</v>
      </c>
      <c r="Q165" s="283">
        <f>Q159-Q163</f>
        <v>405360</v>
      </c>
    </row>
    <row r="166" spans="2:22" ht="15" thickBot="1" x14ac:dyDescent="0.35">
      <c r="B166" s="284"/>
      <c r="C166" s="284"/>
      <c r="D166" s="284"/>
      <c r="E166" s="284"/>
      <c r="F166" s="284"/>
      <c r="G166" s="284"/>
      <c r="H166" s="284"/>
      <c r="I166" s="284"/>
      <c r="J166" s="284"/>
      <c r="K166" s="284"/>
      <c r="L166" s="284"/>
      <c r="M166" s="284"/>
      <c r="N166" s="284"/>
      <c r="O166" s="284"/>
      <c r="P166" s="284"/>
      <c r="Q166" s="284"/>
    </row>
    <row r="167" spans="2:22" ht="15" thickBot="1" x14ac:dyDescent="0.35">
      <c r="B167" s="500" t="s">
        <v>426</v>
      </c>
      <c r="C167" s="501"/>
      <c r="D167" s="501"/>
      <c r="E167" s="501"/>
      <c r="F167" s="501"/>
      <c r="G167" s="501"/>
      <c r="H167" s="501"/>
      <c r="I167" s="496" t="s">
        <v>340</v>
      </c>
      <c r="J167" s="497"/>
      <c r="K167" s="498"/>
      <c r="L167" s="496" t="s">
        <v>341</v>
      </c>
      <c r="M167" s="497"/>
      <c r="N167" s="498"/>
      <c r="O167" s="496" t="s">
        <v>342</v>
      </c>
      <c r="P167" s="497"/>
      <c r="Q167" s="499"/>
    </row>
    <row r="168" spans="2:22" ht="15.6" thickTop="1" thickBot="1" x14ac:dyDescent="0.35">
      <c r="B168" s="222" t="s">
        <v>343</v>
      </c>
      <c r="C168" s="223" t="s">
        <v>344</v>
      </c>
      <c r="D168" s="223" t="s">
        <v>345</v>
      </c>
      <c r="E168" s="223" t="s">
        <v>346</v>
      </c>
      <c r="F168" s="224" t="s">
        <v>347</v>
      </c>
      <c r="G168" s="224" t="s">
        <v>348</v>
      </c>
      <c r="H168" s="225" t="s">
        <v>349</v>
      </c>
      <c r="I168" s="226" t="s">
        <v>343</v>
      </c>
      <c r="J168" s="227" t="s">
        <v>344</v>
      </c>
      <c r="K168" s="227" t="s">
        <v>345</v>
      </c>
      <c r="L168" s="226" t="s">
        <v>343</v>
      </c>
      <c r="M168" s="227" t="s">
        <v>344</v>
      </c>
      <c r="N168" s="227" t="s">
        <v>345</v>
      </c>
      <c r="O168" s="226" t="s">
        <v>343</v>
      </c>
      <c r="P168" s="227" t="s">
        <v>344</v>
      </c>
      <c r="Q168" s="228" t="s">
        <v>345</v>
      </c>
      <c r="S168" s="229" t="s">
        <v>350</v>
      </c>
    </row>
    <row r="169" spans="2:22" ht="15.6" thickTop="1" thickBot="1" x14ac:dyDescent="0.35">
      <c r="B169" s="230"/>
      <c r="C169" s="231" t="e">
        <f>D169/B169</f>
        <v>#DIV/0!</v>
      </c>
      <c r="D169" s="232"/>
      <c r="E169" s="233" t="s">
        <v>351</v>
      </c>
      <c r="F169" s="233" t="s">
        <v>352</v>
      </c>
      <c r="G169" s="233" t="s">
        <v>353</v>
      </c>
      <c r="H169" s="229" t="s">
        <v>354</v>
      </c>
      <c r="I169" s="234"/>
      <c r="J169" s="235"/>
      <c r="K169" s="235"/>
      <c r="L169" s="236"/>
      <c r="M169" s="236"/>
      <c r="N169" s="236"/>
      <c r="O169" s="236"/>
      <c r="P169" s="236"/>
      <c r="Q169" s="237"/>
      <c r="S169" s="234">
        <f>'2022'!G469</f>
        <v>26040</v>
      </c>
      <c r="T169" s="235">
        <f>U169/S169</f>
        <v>53.175543750000003</v>
      </c>
      <c r="U169" s="235">
        <f>'2022'!G470</f>
        <v>1384691.15925</v>
      </c>
    </row>
    <row r="170" spans="2:22" ht="15.6" thickTop="1" thickBot="1" x14ac:dyDescent="0.35">
      <c r="B170" s="230">
        <f>'2022'!J474</f>
        <v>115040</v>
      </c>
      <c r="C170" s="231">
        <f>D170/B170</f>
        <v>26.796540333796941</v>
      </c>
      <c r="D170" s="232">
        <f>'2022'!J475</f>
        <v>3082674</v>
      </c>
      <c r="E170" s="233" t="s">
        <v>351</v>
      </c>
      <c r="F170" s="233" t="s">
        <v>352</v>
      </c>
      <c r="G170" s="233" t="s">
        <v>355</v>
      </c>
      <c r="H170" s="229" t="s">
        <v>356</v>
      </c>
      <c r="I170" s="234">
        <f>SUM(B169:B170)</f>
        <v>115040</v>
      </c>
      <c r="J170" s="235">
        <f>K170/I170</f>
        <v>26.796540333796941</v>
      </c>
      <c r="K170" s="235">
        <f>SUM(D169:D170)</f>
        <v>3082674</v>
      </c>
      <c r="L170" s="236"/>
      <c r="M170" s="236"/>
      <c r="N170" s="236"/>
      <c r="O170" s="236"/>
      <c r="P170" s="236"/>
      <c r="Q170" s="237"/>
      <c r="S170" s="229" t="s">
        <v>11</v>
      </c>
    </row>
    <row r="171" spans="2:22" ht="15.6" thickTop="1" thickBot="1" x14ac:dyDescent="0.35">
      <c r="B171" s="242">
        <f>'2022'!X473</f>
        <v>24190</v>
      </c>
      <c r="C171" s="243">
        <f>D171/B171</f>
        <v>40</v>
      </c>
      <c r="D171" s="244">
        <f>'2022'!X474</f>
        <v>967600</v>
      </c>
      <c r="E171" s="245" t="s">
        <v>351</v>
      </c>
      <c r="F171" s="245" t="s">
        <v>352</v>
      </c>
      <c r="G171" s="245" t="s">
        <v>357</v>
      </c>
      <c r="H171" s="246" t="s">
        <v>235</v>
      </c>
      <c r="I171" s="238"/>
      <c r="J171" s="239"/>
      <c r="K171" s="239"/>
      <c r="L171" s="239"/>
      <c r="M171" s="239"/>
      <c r="N171" s="239"/>
      <c r="O171" s="239"/>
      <c r="P171" s="239"/>
      <c r="Q171" s="240"/>
      <c r="S171" s="241"/>
    </row>
    <row r="172" spans="2:22" ht="15.6" thickTop="1" thickBot="1" x14ac:dyDescent="0.35">
      <c r="B172" s="242"/>
      <c r="C172" s="243" t="e">
        <f>D172/B172</f>
        <v>#DIV/0!</v>
      </c>
      <c r="D172" s="244"/>
      <c r="E172" s="245" t="s">
        <v>351</v>
      </c>
      <c r="F172" s="245" t="s">
        <v>352</v>
      </c>
      <c r="G172" s="245" t="s">
        <v>358</v>
      </c>
      <c r="H172" s="246" t="s">
        <v>235</v>
      </c>
      <c r="I172" s="238"/>
      <c r="J172" s="239"/>
      <c r="K172" s="239"/>
      <c r="L172" s="239"/>
      <c r="M172" s="239"/>
      <c r="N172" s="239"/>
      <c r="O172" s="239"/>
      <c r="P172" s="239"/>
      <c r="Q172" s="240"/>
      <c r="S172" s="234">
        <f>'2022'!F469</f>
        <v>4705.1865439999974</v>
      </c>
      <c r="T172" s="235">
        <f>U172/S172</f>
        <v>24.99</v>
      </c>
      <c r="U172" s="235">
        <f>'2022'!F470</f>
        <v>117582.61173455993</v>
      </c>
    </row>
    <row r="173" spans="2:22" ht="15.6" thickTop="1" thickBot="1" x14ac:dyDescent="0.35">
      <c r="B173" s="242"/>
      <c r="C173" s="243" t="e">
        <f>D173/B173</f>
        <v>#DIV/0!</v>
      </c>
      <c r="D173" s="244"/>
      <c r="E173" s="245" t="s">
        <v>351</v>
      </c>
      <c r="F173" s="245" t="s">
        <v>352</v>
      </c>
      <c r="G173" s="245" t="s">
        <v>359</v>
      </c>
      <c r="H173" s="246" t="s">
        <v>235</v>
      </c>
      <c r="I173" s="234">
        <f>SUM(B171:B173)</f>
        <v>24190</v>
      </c>
      <c r="J173" s="235">
        <f>K173/I173</f>
        <v>40</v>
      </c>
      <c r="K173" s="235">
        <f>SUM(D171:D173)</f>
        <v>967600</v>
      </c>
      <c r="L173" s="239"/>
      <c r="M173" s="239"/>
      <c r="N173" s="239"/>
      <c r="O173" s="239"/>
      <c r="P173" s="239"/>
      <c r="Q173" s="240"/>
      <c r="S173" s="229" t="s">
        <v>13</v>
      </c>
    </row>
    <row r="174" spans="2:22" ht="15.6" thickTop="1" thickBot="1" x14ac:dyDescent="0.35">
      <c r="B174" s="247"/>
      <c r="C174" s="248"/>
      <c r="D174" s="249"/>
      <c r="E174" s="250" t="s">
        <v>351</v>
      </c>
      <c r="F174" s="250" t="s">
        <v>360</v>
      </c>
      <c r="G174" s="250" t="s">
        <v>361</v>
      </c>
      <c r="H174" s="251" t="s">
        <v>235</v>
      </c>
      <c r="I174" s="252">
        <f>SUM(B169:B174)</f>
        <v>139230</v>
      </c>
      <c r="J174" s="253">
        <f>K174/I174</f>
        <v>29.090526466997055</v>
      </c>
      <c r="K174" s="253">
        <f>SUM(D169:D174)</f>
        <v>4050274</v>
      </c>
      <c r="L174" s="252">
        <v>0</v>
      </c>
      <c r="M174" s="253" t="e">
        <f>N174/L174</f>
        <v>#DIV/0!</v>
      </c>
      <c r="N174" s="253">
        <v>0</v>
      </c>
      <c r="O174" s="252">
        <f>I174+L174</f>
        <v>139230</v>
      </c>
      <c r="P174" s="253">
        <f>Q174/O174</f>
        <v>29.090526466997055</v>
      </c>
      <c r="Q174" s="254">
        <f>K174+(N174-N178)</f>
        <v>4050274</v>
      </c>
      <c r="S174" s="234">
        <f>'2022'!H469</f>
        <v>6521</v>
      </c>
      <c r="T174" s="235">
        <f>U174/S174</f>
        <v>43.87</v>
      </c>
      <c r="U174" s="235">
        <f>'2022'!H470</f>
        <v>286076.26999999996</v>
      </c>
    </row>
    <row r="175" spans="2:22" ht="15.6" thickTop="1" thickBot="1" x14ac:dyDescent="0.35">
      <c r="B175" s="255"/>
      <c r="C175" s="256" t="e">
        <f>D175/B175</f>
        <v>#DIV/0!</v>
      </c>
      <c r="D175" s="257"/>
      <c r="E175" s="258" t="s">
        <v>362</v>
      </c>
      <c r="F175" s="258" t="s">
        <v>352</v>
      </c>
      <c r="G175" s="258" t="s">
        <v>355</v>
      </c>
      <c r="H175" s="259" t="s">
        <v>356</v>
      </c>
      <c r="I175" s="260"/>
      <c r="J175" s="261"/>
      <c r="K175" s="261"/>
      <c r="L175" s="260"/>
      <c r="M175" s="261"/>
      <c r="N175" s="261"/>
      <c r="O175" s="260"/>
      <c r="P175" s="261"/>
      <c r="Q175" s="262"/>
      <c r="S175" s="301">
        <f>SUM(O174,S169,S172,S174)</f>
        <v>176496.186544</v>
      </c>
      <c r="T175" s="58">
        <f>U175/S175</f>
        <v>33.08073763695176</v>
      </c>
      <c r="U175" s="253">
        <f>Q174+U174+U172+U169</f>
        <v>5838624.0409845598</v>
      </c>
      <c r="V175" s="216" t="s">
        <v>162</v>
      </c>
    </row>
    <row r="176" spans="2:22" ht="15.6" thickTop="1" thickBot="1" x14ac:dyDescent="0.35">
      <c r="B176" s="263">
        <f>'2022'!AG502</f>
        <v>77137</v>
      </c>
      <c r="C176" s="264">
        <f>D176/B176</f>
        <v>60</v>
      </c>
      <c r="D176" s="265">
        <f>'2022'!AI502</f>
        <v>4628220</v>
      </c>
      <c r="E176" s="266" t="s">
        <v>362</v>
      </c>
      <c r="F176" s="266" t="s">
        <v>352</v>
      </c>
      <c r="G176" s="266" t="s">
        <v>357</v>
      </c>
      <c r="H176" s="267" t="s">
        <v>235</v>
      </c>
      <c r="I176" s="260"/>
      <c r="J176" s="261"/>
      <c r="K176" s="261"/>
      <c r="L176" s="260"/>
      <c r="M176" s="261"/>
      <c r="N176" s="261"/>
      <c r="O176" s="260"/>
      <c r="P176" s="261"/>
      <c r="Q176" s="262"/>
      <c r="S176" s="301">
        <f>S175-O178</f>
        <v>99359.186543999997</v>
      </c>
      <c r="T176" s="58">
        <f>U176/S176</f>
        <v>12.182104977767176</v>
      </c>
      <c r="U176" s="253">
        <f>U175-Q178</f>
        <v>1210404.0409845598</v>
      </c>
      <c r="V176" s="216" t="s">
        <v>369</v>
      </c>
    </row>
    <row r="177" spans="2:22" ht="15.6" thickTop="1" thickBot="1" x14ac:dyDescent="0.35">
      <c r="B177" s="263"/>
      <c r="C177" s="264" t="e">
        <f>D177/B177</f>
        <v>#DIV/0!</v>
      </c>
      <c r="D177" s="265"/>
      <c r="E177" s="266" t="s">
        <v>362</v>
      </c>
      <c r="F177" s="266" t="s">
        <v>352</v>
      </c>
      <c r="G177" s="266" t="s">
        <v>358</v>
      </c>
      <c r="H177" s="267" t="s">
        <v>235</v>
      </c>
      <c r="I177" s="260"/>
      <c r="J177" s="261"/>
      <c r="K177" s="261"/>
      <c r="L177" s="260"/>
      <c r="M177" s="261"/>
      <c r="N177" s="261"/>
      <c r="O177" s="260"/>
      <c r="P177" s="261"/>
      <c r="Q177" s="262"/>
    </row>
    <row r="178" spans="2:22" ht="15.6" thickTop="1" thickBot="1" x14ac:dyDescent="0.35">
      <c r="B178" s="268"/>
      <c r="C178" s="269" t="e">
        <f>D178/B178</f>
        <v>#DIV/0!</v>
      </c>
      <c r="D178" s="270"/>
      <c r="E178" s="271" t="s">
        <v>362</v>
      </c>
      <c r="F178" s="271" t="s">
        <v>352</v>
      </c>
      <c r="G178" s="271" t="s">
        <v>359</v>
      </c>
      <c r="H178" s="272" t="s">
        <v>235</v>
      </c>
      <c r="I178" s="273">
        <f>SUM(B175:B178)</f>
        <v>77137</v>
      </c>
      <c r="J178" s="253">
        <f>K178/I178</f>
        <v>60</v>
      </c>
      <c r="K178" s="253">
        <f>SUM(D175:D178)</f>
        <v>4628220</v>
      </c>
      <c r="L178" s="252">
        <v>0</v>
      </c>
      <c r="M178" s="253" t="e">
        <f>N178/L178</f>
        <v>#DIV/0!</v>
      </c>
      <c r="N178" s="253">
        <v>0</v>
      </c>
      <c r="O178" s="252">
        <f>I178+L178</f>
        <v>77137</v>
      </c>
      <c r="P178" s="253">
        <f>Q178/O178</f>
        <v>60</v>
      </c>
      <c r="Q178" s="254">
        <f>K178</f>
        <v>4628220</v>
      </c>
    </row>
    <row r="179" spans="2:22" ht="15" thickBot="1" x14ac:dyDescent="0.35">
      <c r="B179" s="274" t="s">
        <v>343</v>
      </c>
      <c r="C179" s="275" t="s">
        <v>344</v>
      </c>
      <c r="D179" s="275" t="s">
        <v>345</v>
      </c>
      <c r="E179" s="275" t="s">
        <v>346</v>
      </c>
      <c r="F179" s="276" t="s">
        <v>347</v>
      </c>
      <c r="G179" s="276" t="s">
        <v>348</v>
      </c>
      <c r="H179" s="277" t="s">
        <v>349</v>
      </c>
      <c r="I179" s="293">
        <f>I174-I178</f>
        <v>62093</v>
      </c>
      <c r="J179" s="279"/>
      <c r="K179" s="279"/>
      <c r="L179" s="279"/>
      <c r="M179" s="279"/>
      <c r="N179" s="279"/>
      <c r="O179" s="279"/>
      <c r="P179" s="279"/>
      <c r="Q179" s="279"/>
    </row>
    <row r="180" spans="2:22" ht="15.6" thickTop="1" thickBot="1" x14ac:dyDescent="0.35">
      <c r="B180" s="242"/>
      <c r="C180" s="243" t="e">
        <f>D180/B180</f>
        <v>#DIV/0!</v>
      </c>
      <c r="D180" s="244"/>
      <c r="E180" s="245" t="s">
        <v>351</v>
      </c>
      <c r="F180" s="245" t="s">
        <v>363</v>
      </c>
      <c r="G180" s="245" t="s">
        <v>357</v>
      </c>
      <c r="H180" s="280" t="s">
        <v>235</v>
      </c>
      <c r="I180" s="281" t="s">
        <v>364</v>
      </c>
      <c r="J180" s="279"/>
      <c r="K180" s="253">
        <f>(Q180/O180)*-1</f>
        <v>9.3077480553363507</v>
      </c>
      <c r="L180" s="279"/>
      <c r="M180" s="282" t="s">
        <v>365</v>
      </c>
      <c r="N180" s="253">
        <f>N174-N178</f>
        <v>0</v>
      </c>
      <c r="O180" s="252">
        <f>O174-O178</f>
        <v>62093</v>
      </c>
      <c r="P180" s="282" t="s">
        <v>366</v>
      </c>
      <c r="Q180" s="283">
        <f>Q174-Q178</f>
        <v>-577946</v>
      </c>
    </row>
    <row r="181" spans="2:22" ht="15" thickBot="1" x14ac:dyDescent="0.35">
      <c r="B181" s="284"/>
      <c r="C181" s="284"/>
      <c r="D181" s="284"/>
      <c r="E181" s="284"/>
      <c r="F181" s="284"/>
      <c r="G181" s="284"/>
      <c r="H181" s="284"/>
      <c r="I181" s="284"/>
      <c r="J181" s="284"/>
      <c r="K181" s="284"/>
      <c r="L181" s="284"/>
      <c r="M181" s="284"/>
      <c r="N181" s="284"/>
      <c r="O181" s="284"/>
      <c r="P181" s="284"/>
      <c r="Q181" s="284"/>
    </row>
    <row r="182" spans="2:22" ht="15" thickBot="1" x14ac:dyDescent="0.35">
      <c r="B182" s="500" t="s">
        <v>427</v>
      </c>
      <c r="C182" s="501"/>
      <c r="D182" s="501"/>
      <c r="E182" s="501"/>
      <c r="F182" s="501"/>
      <c r="G182" s="501"/>
      <c r="H182" s="501"/>
      <c r="I182" s="496" t="s">
        <v>340</v>
      </c>
      <c r="J182" s="497"/>
      <c r="K182" s="498"/>
      <c r="L182" s="496" t="s">
        <v>341</v>
      </c>
      <c r="M182" s="497"/>
      <c r="N182" s="498"/>
      <c r="O182" s="496" t="s">
        <v>342</v>
      </c>
      <c r="P182" s="497"/>
      <c r="Q182" s="499"/>
    </row>
    <row r="183" spans="2:22" ht="15.6" thickTop="1" thickBot="1" x14ac:dyDescent="0.35">
      <c r="B183" s="222" t="s">
        <v>343</v>
      </c>
      <c r="C183" s="223" t="s">
        <v>344</v>
      </c>
      <c r="D183" s="223" t="s">
        <v>345</v>
      </c>
      <c r="E183" s="223" t="s">
        <v>346</v>
      </c>
      <c r="F183" s="224" t="s">
        <v>347</v>
      </c>
      <c r="G183" s="224" t="s">
        <v>348</v>
      </c>
      <c r="H183" s="225" t="s">
        <v>349</v>
      </c>
      <c r="I183" s="226" t="s">
        <v>343</v>
      </c>
      <c r="J183" s="227" t="s">
        <v>344</v>
      </c>
      <c r="K183" s="227" t="s">
        <v>345</v>
      </c>
      <c r="L183" s="226" t="s">
        <v>343</v>
      </c>
      <c r="M183" s="227" t="s">
        <v>344</v>
      </c>
      <c r="N183" s="227" t="s">
        <v>345</v>
      </c>
      <c r="O183" s="226" t="s">
        <v>343</v>
      </c>
      <c r="P183" s="227" t="s">
        <v>344</v>
      </c>
      <c r="Q183" s="228" t="s">
        <v>345</v>
      </c>
      <c r="S183" s="229" t="s">
        <v>350</v>
      </c>
    </row>
    <row r="184" spans="2:22" ht="15.6" thickTop="1" thickBot="1" x14ac:dyDescent="0.35">
      <c r="B184" s="230">
        <f t="shared" ref="B184:B193" si="6">SUM(B169,B154,B139,B124,B109,B94,B79,B64,B49,B34,B19,B4)</f>
        <v>0</v>
      </c>
      <c r="C184" s="231" t="e">
        <f t="shared" ref="C184:C189" si="7">D184/B184</f>
        <v>#DIV/0!</v>
      </c>
      <c r="D184" s="232">
        <f t="shared" ref="D184:D193" si="8">SUM(D169,D154,D139,D124,D109,D94,D79,D64,D49,D34,D19,D4)</f>
        <v>0</v>
      </c>
      <c r="E184" s="233" t="s">
        <v>351</v>
      </c>
      <c r="F184" s="233" t="s">
        <v>352</v>
      </c>
      <c r="G184" s="233" t="s">
        <v>353</v>
      </c>
      <c r="H184" s="229" t="s">
        <v>354</v>
      </c>
      <c r="I184" s="234"/>
      <c r="J184" s="235"/>
      <c r="K184" s="235"/>
      <c r="L184" s="236"/>
      <c r="M184" s="236"/>
      <c r="N184" s="236"/>
      <c r="O184" s="236"/>
      <c r="P184" s="236"/>
      <c r="Q184" s="237"/>
      <c r="S184" s="316">
        <f>SUM(S169,S154,S139,S124,S109,S94,S79,S64,S49,S34,S19,S4)</f>
        <v>306600</v>
      </c>
      <c r="T184" s="235">
        <f>U184/S184</f>
        <v>48.452830428082201</v>
      </c>
      <c r="U184" s="317">
        <f>SUM(U169,U154,U139,U124,U109,U94,U79,U64,U49,U34,U19,U4)</f>
        <v>14855637.809250003</v>
      </c>
    </row>
    <row r="185" spans="2:22" ht="15.6" thickTop="1" thickBot="1" x14ac:dyDescent="0.35">
      <c r="B185" s="230">
        <f t="shared" si="6"/>
        <v>1061760</v>
      </c>
      <c r="C185" s="231">
        <f t="shared" si="7"/>
        <v>28.390226793248946</v>
      </c>
      <c r="D185" s="232">
        <f t="shared" si="8"/>
        <v>30143607.199999999</v>
      </c>
      <c r="E185" s="233" t="s">
        <v>351</v>
      </c>
      <c r="F185" s="233" t="s">
        <v>352</v>
      </c>
      <c r="G185" s="233" t="s">
        <v>355</v>
      </c>
      <c r="H185" s="229" t="s">
        <v>356</v>
      </c>
      <c r="I185" s="234">
        <f>SUM(B182:B185)</f>
        <v>1061760</v>
      </c>
      <c r="J185" s="235">
        <f>K185/I185</f>
        <v>28.390226793248946</v>
      </c>
      <c r="K185" s="235">
        <f>SUM(D182:D185)</f>
        <v>30143607.199999999</v>
      </c>
      <c r="L185" s="236"/>
      <c r="M185" s="236"/>
      <c r="N185" s="236"/>
      <c r="O185" s="236"/>
      <c r="P185" s="236"/>
      <c r="Q185" s="237"/>
      <c r="S185" s="229" t="s">
        <v>11</v>
      </c>
    </row>
    <row r="186" spans="2:22" ht="15.6" thickTop="1" thickBot="1" x14ac:dyDescent="0.35">
      <c r="B186" s="230">
        <f t="shared" si="6"/>
        <v>677971</v>
      </c>
      <c r="C186" s="231">
        <f t="shared" si="7"/>
        <v>41.540021623343769</v>
      </c>
      <c r="D186" s="232">
        <f t="shared" si="8"/>
        <v>28162930</v>
      </c>
      <c r="E186" s="245" t="s">
        <v>351</v>
      </c>
      <c r="F186" s="245" t="s">
        <v>352</v>
      </c>
      <c r="G186" s="245" t="s">
        <v>357</v>
      </c>
      <c r="H186" s="246" t="s">
        <v>235</v>
      </c>
      <c r="I186" s="238"/>
      <c r="J186" s="239"/>
      <c r="K186" s="239"/>
      <c r="L186" s="239"/>
      <c r="M186" s="239"/>
      <c r="N186" s="239"/>
      <c r="O186" s="239"/>
      <c r="P186" s="239"/>
      <c r="Q186" s="240"/>
      <c r="S186" s="241"/>
    </row>
    <row r="187" spans="2:22" ht="15.6" thickTop="1" thickBot="1" x14ac:dyDescent="0.35">
      <c r="B187" s="230">
        <f t="shared" si="6"/>
        <v>0</v>
      </c>
      <c r="C187" s="231" t="e">
        <f t="shared" si="7"/>
        <v>#DIV/0!</v>
      </c>
      <c r="D187" s="232">
        <f t="shared" si="8"/>
        <v>0</v>
      </c>
      <c r="E187" s="245" t="s">
        <v>351</v>
      </c>
      <c r="F187" s="245" t="s">
        <v>352</v>
      </c>
      <c r="G187" s="245" t="s">
        <v>358</v>
      </c>
      <c r="H187" s="246" t="s">
        <v>235</v>
      </c>
      <c r="I187" s="238"/>
      <c r="J187" s="239"/>
      <c r="K187" s="239"/>
      <c r="L187" s="239"/>
      <c r="M187" s="239"/>
      <c r="N187" s="239"/>
      <c r="O187" s="239"/>
      <c r="P187" s="239"/>
      <c r="Q187" s="240"/>
      <c r="S187" s="316">
        <f>SUM(S172,S157,S142,S127,S112,S97,S82,S67,S52,S37,S22,S7)</f>
        <v>89413.111449999982</v>
      </c>
      <c r="T187" s="235">
        <v>24.99</v>
      </c>
      <c r="U187" s="317">
        <f>SUM(U172,U157,U142,U127,U112,U97,U82,U67,U52,U37,U22,U7)</f>
        <v>2234433.6551354993</v>
      </c>
    </row>
    <row r="188" spans="2:22" ht="15.6" thickTop="1" thickBot="1" x14ac:dyDescent="0.35">
      <c r="B188" s="230">
        <f t="shared" si="6"/>
        <v>0</v>
      </c>
      <c r="C188" s="231" t="e">
        <f t="shared" si="7"/>
        <v>#DIV/0!</v>
      </c>
      <c r="D188" s="232">
        <f t="shared" si="8"/>
        <v>0</v>
      </c>
      <c r="E188" s="245" t="s">
        <v>351</v>
      </c>
      <c r="F188" s="245" t="s">
        <v>352</v>
      </c>
      <c r="G188" s="245" t="s">
        <v>359</v>
      </c>
      <c r="H188" s="246" t="s">
        <v>235</v>
      </c>
      <c r="I188" s="234">
        <f>SUM(B186:B188)</f>
        <v>677971</v>
      </c>
      <c r="J188" s="235">
        <f>K188/I188</f>
        <v>41.540021623343769</v>
      </c>
      <c r="K188" s="235">
        <f>SUM(D186:D188)</f>
        <v>28162930</v>
      </c>
      <c r="L188" s="239"/>
      <c r="M188" s="239"/>
      <c r="N188" s="239"/>
      <c r="O188" s="239"/>
      <c r="P188" s="239"/>
      <c r="Q188" s="240"/>
      <c r="S188" s="229" t="s">
        <v>13</v>
      </c>
    </row>
    <row r="189" spans="2:22" ht="15.6" thickTop="1" thickBot="1" x14ac:dyDescent="0.35">
      <c r="B189" s="230">
        <f t="shared" si="6"/>
        <v>0</v>
      </c>
      <c r="C189" s="231" t="e">
        <f t="shared" si="7"/>
        <v>#DIV/0!</v>
      </c>
      <c r="D189" s="232">
        <f t="shared" si="8"/>
        <v>0</v>
      </c>
      <c r="E189" s="250" t="s">
        <v>351</v>
      </c>
      <c r="F189" s="250" t="s">
        <v>360</v>
      </c>
      <c r="G189" s="250" t="s">
        <v>361</v>
      </c>
      <c r="H189" s="251" t="s">
        <v>235</v>
      </c>
      <c r="I189" s="252">
        <f>SUM(B185:B189)</f>
        <v>1739731</v>
      </c>
      <c r="J189" s="253">
        <f>K189/I189</f>
        <v>33.514685431253454</v>
      </c>
      <c r="K189" s="253">
        <f>SUM(D185:D189)</f>
        <v>58306537.200000003</v>
      </c>
      <c r="L189" s="318">
        <v>70</v>
      </c>
      <c r="M189" s="319">
        <v>142.85714285714286</v>
      </c>
      <c r="N189" s="319">
        <v>10000</v>
      </c>
      <c r="O189" s="252">
        <f>I189+L189</f>
        <v>1739801</v>
      </c>
      <c r="P189" s="253">
        <f>Q189/O189</f>
        <v>33.519084768890238</v>
      </c>
      <c r="Q189" s="254">
        <f>K189+N189</f>
        <v>58316537.200000003</v>
      </c>
      <c r="S189" s="234">
        <f>SUM(S174,S159,S144,S129,S114,S99,S84,S69,S54,S39,S24,S9)</f>
        <v>127652</v>
      </c>
      <c r="T189" s="235">
        <f>'Hoover with 30 MW Solar'!$P$47</f>
        <v>0</v>
      </c>
      <c r="U189" s="235">
        <f>SUM(U174,U159,U144,U129,U114,U99,U84,U69,U54,U39,U24,U9)</f>
        <v>5600093.2399999993</v>
      </c>
    </row>
    <row r="190" spans="2:22" ht="15.6" thickTop="1" thickBot="1" x14ac:dyDescent="0.35">
      <c r="B190" s="230">
        <f t="shared" si="6"/>
        <v>0</v>
      </c>
      <c r="C190" s="231" t="e">
        <f t="shared" ref="C190:C193" si="9">D190/B190</f>
        <v>#DIV/0!</v>
      </c>
      <c r="D190" s="232">
        <f t="shared" si="8"/>
        <v>0</v>
      </c>
      <c r="E190" s="258" t="s">
        <v>362</v>
      </c>
      <c r="F190" s="258" t="s">
        <v>352</v>
      </c>
      <c r="G190" s="258" t="s">
        <v>355</v>
      </c>
      <c r="H190" s="259" t="s">
        <v>356</v>
      </c>
      <c r="I190" s="260"/>
      <c r="J190" s="261"/>
      <c r="K190" s="261"/>
      <c r="L190" s="320"/>
      <c r="M190" s="321"/>
      <c r="N190" s="321"/>
      <c r="O190" s="260"/>
      <c r="P190" s="261"/>
      <c r="Q190" s="262"/>
      <c r="S190" s="301">
        <f>SUM(O189,S184,S187,S189)</f>
        <v>2263466.1114500002</v>
      </c>
      <c r="U190" s="253">
        <f>Q189+U189+U187+U184</f>
        <v>81006701.904385507</v>
      </c>
      <c r="V190" s="216" t="s">
        <v>369</v>
      </c>
    </row>
    <row r="191" spans="2:22" ht="15.6" thickTop="1" thickBot="1" x14ac:dyDescent="0.35">
      <c r="B191" s="230">
        <f t="shared" si="6"/>
        <v>418631</v>
      </c>
      <c r="C191" s="231">
        <f t="shared" si="9"/>
        <v>83.896044487866405</v>
      </c>
      <c r="D191" s="232">
        <f t="shared" si="8"/>
        <v>35121485</v>
      </c>
      <c r="E191" s="266" t="s">
        <v>362</v>
      </c>
      <c r="F191" s="266" t="s">
        <v>352</v>
      </c>
      <c r="G191" s="266" t="s">
        <v>357</v>
      </c>
      <c r="H191" s="267" t="s">
        <v>235</v>
      </c>
      <c r="I191" s="260"/>
      <c r="J191" s="261"/>
      <c r="K191" s="261"/>
      <c r="L191" s="320"/>
      <c r="M191" s="321"/>
      <c r="N191" s="321"/>
      <c r="O191" s="260"/>
      <c r="P191" s="261"/>
      <c r="Q191" s="262"/>
      <c r="S191" s="301">
        <f>S190-O193</f>
        <v>1844765.1114500002</v>
      </c>
      <c r="U191" s="253">
        <f>U190-Q193</f>
        <v>45875616.904385507</v>
      </c>
    </row>
    <row r="192" spans="2:22" ht="15.6" thickTop="1" thickBot="1" x14ac:dyDescent="0.35">
      <c r="B192" s="230">
        <f t="shared" si="6"/>
        <v>0</v>
      </c>
      <c r="C192" s="231" t="e">
        <f t="shared" si="9"/>
        <v>#DIV/0!</v>
      </c>
      <c r="D192" s="232">
        <f t="shared" si="8"/>
        <v>0</v>
      </c>
      <c r="E192" s="266" t="s">
        <v>362</v>
      </c>
      <c r="F192" s="266" t="s">
        <v>352</v>
      </c>
      <c r="G192" s="266" t="s">
        <v>358</v>
      </c>
      <c r="H192" s="267" t="s">
        <v>235</v>
      </c>
      <c r="I192" s="260"/>
      <c r="J192" s="261"/>
      <c r="K192" s="261"/>
      <c r="L192" s="320"/>
      <c r="M192" s="321"/>
      <c r="N192" s="321"/>
      <c r="O192" s="260"/>
      <c r="P192" s="261"/>
      <c r="Q192" s="262"/>
    </row>
    <row r="193" spans="2:18" ht="15.6" thickTop="1" thickBot="1" x14ac:dyDescent="0.35">
      <c r="B193" s="230">
        <f t="shared" si="6"/>
        <v>0</v>
      </c>
      <c r="C193" s="231" t="e">
        <f t="shared" si="9"/>
        <v>#DIV/0!</v>
      </c>
      <c r="D193" s="232">
        <f t="shared" si="8"/>
        <v>0</v>
      </c>
      <c r="E193" s="271" t="s">
        <v>362</v>
      </c>
      <c r="F193" s="271" t="s">
        <v>352</v>
      </c>
      <c r="G193" s="271" t="s">
        <v>359</v>
      </c>
      <c r="H193" s="272" t="s">
        <v>235</v>
      </c>
      <c r="I193" s="273">
        <f>SUM(B190:B193)</f>
        <v>418631</v>
      </c>
      <c r="J193" s="253">
        <f>K193/I193</f>
        <v>83.896044487866405</v>
      </c>
      <c r="K193" s="253">
        <f>SUM(D190:D193)</f>
        <v>35121485</v>
      </c>
      <c r="L193" s="318">
        <v>70</v>
      </c>
      <c r="M193" s="319">
        <v>137.14285714285714</v>
      </c>
      <c r="N193" s="319">
        <v>9600</v>
      </c>
      <c r="O193" s="252">
        <f>I193+L193</f>
        <v>418701</v>
      </c>
      <c r="P193" s="253">
        <f>Q193/O193</f>
        <v>83.904946489260837</v>
      </c>
      <c r="Q193" s="254">
        <f>K193+N193</f>
        <v>35131085</v>
      </c>
    </row>
    <row r="194" spans="2:18" ht="15" thickBot="1" x14ac:dyDescent="0.35">
      <c r="B194" s="274" t="s">
        <v>343</v>
      </c>
      <c r="C194" s="275" t="s">
        <v>344</v>
      </c>
      <c r="D194" s="275" t="s">
        <v>345</v>
      </c>
      <c r="E194" s="275" t="s">
        <v>346</v>
      </c>
      <c r="F194" s="276" t="s">
        <v>347</v>
      </c>
      <c r="G194" s="276" t="s">
        <v>348</v>
      </c>
      <c r="H194" s="277" t="s">
        <v>349</v>
      </c>
      <c r="I194" s="293">
        <f>I189-I193</f>
        <v>1321100</v>
      </c>
      <c r="J194" s="279"/>
      <c r="K194" s="279"/>
      <c r="L194" s="279"/>
      <c r="M194" s="279"/>
      <c r="N194" s="279"/>
      <c r="O194" s="279"/>
      <c r="P194" s="279"/>
      <c r="Q194" s="279"/>
    </row>
    <row r="195" spans="2:18" ht="15.6" thickTop="1" thickBot="1" x14ac:dyDescent="0.35">
      <c r="B195" s="242">
        <f>SUM(B180,B165,B150,B135,B120,B105,B90,B75,B60,B45,B30,B15)</f>
        <v>0</v>
      </c>
      <c r="C195" s="243" t="e">
        <f>D195/B195</f>
        <v>#DIV/0!</v>
      </c>
      <c r="D195" s="244">
        <f>SUM(D180,D165,D150,D135,D120,D105,D90,D75,D60,D45,D30,D15)</f>
        <v>0</v>
      </c>
      <c r="E195" s="245" t="s">
        <v>351</v>
      </c>
      <c r="F195" s="245" t="s">
        <v>363</v>
      </c>
      <c r="G195" s="245" t="s">
        <v>357</v>
      </c>
      <c r="H195" s="280" t="s">
        <v>235</v>
      </c>
      <c r="I195" s="281" t="s">
        <v>364</v>
      </c>
      <c r="J195" s="279"/>
      <c r="K195" s="253">
        <f>(Q195/O195)</f>
        <v>17.550111422299601</v>
      </c>
      <c r="L195" s="279"/>
      <c r="M195" s="282" t="s">
        <v>365</v>
      </c>
      <c r="N195" s="253">
        <f>N189-N193</f>
        <v>400</v>
      </c>
      <c r="O195" s="252">
        <f>O189-O193</f>
        <v>1321100</v>
      </c>
      <c r="P195" s="282" t="s">
        <v>366</v>
      </c>
      <c r="Q195" s="283">
        <f>Q189-Q193</f>
        <v>23185452.200000003</v>
      </c>
    </row>
    <row r="196" spans="2:18" x14ac:dyDescent="0.3">
      <c r="B196" s="284"/>
      <c r="C196" s="284"/>
      <c r="D196" s="284"/>
      <c r="E196" s="284"/>
      <c r="F196" s="284"/>
      <c r="G196" s="284"/>
      <c r="H196" s="284"/>
      <c r="I196" s="284"/>
      <c r="J196" s="284"/>
      <c r="K196" s="284"/>
      <c r="L196" s="284"/>
      <c r="M196" s="284"/>
      <c r="N196" s="284"/>
      <c r="O196" s="284"/>
      <c r="P196" s="284"/>
      <c r="Q196" s="284"/>
    </row>
    <row r="198" spans="2:18" ht="15" thickBot="1" x14ac:dyDescent="0.35"/>
    <row r="199" spans="2:18" ht="15" thickBot="1" x14ac:dyDescent="0.35">
      <c r="D199" s="296" t="s">
        <v>372</v>
      </c>
      <c r="E199" s="297" t="s">
        <v>162</v>
      </c>
      <c r="F199" s="298" t="s">
        <v>373</v>
      </c>
      <c r="G199" s="299" t="s">
        <v>47</v>
      </c>
      <c r="I199" s="296" t="s">
        <v>372</v>
      </c>
      <c r="J199" s="297" t="s">
        <v>163</v>
      </c>
      <c r="K199" s="298" t="s">
        <v>373</v>
      </c>
      <c r="L199" s="299" t="s">
        <v>47</v>
      </c>
      <c r="N199" s="296" t="s">
        <v>372</v>
      </c>
      <c r="O199" s="297" t="s">
        <v>374</v>
      </c>
      <c r="P199" s="298" t="s">
        <v>373</v>
      </c>
      <c r="Q199" s="299" t="s">
        <v>47</v>
      </c>
    </row>
    <row r="200" spans="2:18" x14ac:dyDescent="0.3">
      <c r="D200" s="323" t="s">
        <v>48</v>
      </c>
      <c r="E200" s="324">
        <f>S10</f>
        <v>214474.834306</v>
      </c>
      <c r="F200" s="325">
        <f>U10</f>
        <v>7474822.0893069394</v>
      </c>
      <c r="G200" s="326">
        <f>F200/E200</f>
        <v>34.851744324661908</v>
      </c>
      <c r="H200" s="53"/>
      <c r="I200" s="323" t="s">
        <v>48</v>
      </c>
      <c r="J200" s="324">
        <f>O13</f>
        <v>51001</v>
      </c>
      <c r="K200" s="325">
        <f>Q13</f>
        <v>3060060</v>
      </c>
      <c r="L200" s="326">
        <f>K200/J200</f>
        <v>60</v>
      </c>
      <c r="M200" s="53"/>
      <c r="N200" s="323" t="s">
        <v>64</v>
      </c>
      <c r="O200" s="324">
        <f>E200-J200</f>
        <v>163473.834306</v>
      </c>
      <c r="P200" s="333">
        <f>F200-K200</f>
        <v>4414762.0893069394</v>
      </c>
      <c r="Q200" s="326">
        <f>P200/O200</f>
        <v>27.005924881183898</v>
      </c>
      <c r="R200" s="56"/>
    </row>
    <row r="201" spans="2:18" x14ac:dyDescent="0.3">
      <c r="D201" s="323" t="s">
        <v>49</v>
      </c>
      <c r="E201" s="324">
        <f>S25</f>
        <v>211950.82254299999</v>
      </c>
      <c r="F201" s="325">
        <f>U25</f>
        <v>7494657.3053495698</v>
      </c>
      <c r="G201" s="326">
        <f t="shared" ref="G201:G212" si="10">F201/E201</f>
        <v>35.360359612801574</v>
      </c>
      <c r="H201" s="53"/>
      <c r="I201" s="323" t="s">
        <v>49</v>
      </c>
      <c r="J201" s="324">
        <f>O28</f>
        <v>32413</v>
      </c>
      <c r="K201" s="325">
        <f>Q28</f>
        <v>1782715</v>
      </c>
      <c r="L201" s="326">
        <f t="shared" ref="L201:L212" si="11">K201/J201</f>
        <v>55</v>
      </c>
      <c r="M201" s="53"/>
      <c r="N201" s="323" t="s">
        <v>65</v>
      </c>
      <c r="O201" s="324">
        <f t="shared" ref="O201:O211" si="12">E201-J201</f>
        <v>179537.82254299999</v>
      </c>
      <c r="P201" s="333">
        <f t="shared" ref="P201:P211" si="13">F201-K201</f>
        <v>5711942.3053495698</v>
      </c>
      <c r="Q201" s="326">
        <f t="shared" ref="Q201:Q212" si="14">P201/O201</f>
        <v>31.814701907624716</v>
      </c>
      <c r="R201" s="56"/>
    </row>
    <row r="202" spans="2:18" x14ac:dyDescent="0.3">
      <c r="D202" s="300" t="s">
        <v>52</v>
      </c>
      <c r="E202" s="81">
        <f>S40</f>
        <v>269944.57890600001</v>
      </c>
      <c r="F202" s="305">
        <f>U40</f>
        <v>9092725.8511109408</v>
      </c>
      <c r="G202" s="295">
        <f t="shared" si="10"/>
        <v>33.683676434477341</v>
      </c>
      <c r="I202" s="300" t="s">
        <v>52</v>
      </c>
      <c r="J202" s="81">
        <f>O43</f>
        <v>22426</v>
      </c>
      <c r="K202" s="305">
        <f>Q43</f>
        <v>1121300</v>
      </c>
      <c r="L202" s="295">
        <f t="shared" si="11"/>
        <v>50</v>
      </c>
      <c r="N202" s="300" t="s">
        <v>66</v>
      </c>
      <c r="O202" s="81">
        <f t="shared" si="12"/>
        <v>247518.57890600001</v>
      </c>
      <c r="P202" s="334">
        <f t="shared" si="13"/>
        <v>7971425.8511109408</v>
      </c>
      <c r="Q202" s="295">
        <f t="shared" si="14"/>
        <v>32.205363679541179</v>
      </c>
      <c r="R202" s="56"/>
    </row>
    <row r="203" spans="2:18" x14ac:dyDescent="0.3">
      <c r="D203" s="300" t="s">
        <v>53</v>
      </c>
      <c r="E203" s="81">
        <f>S55</f>
        <v>254758.408406</v>
      </c>
      <c r="F203" s="305">
        <f>U55</f>
        <v>8424116.941065941</v>
      </c>
      <c r="G203" s="295">
        <f t="shared" si="10"/>
        <v>33.067081058383387</v>
      </c>
      <c r="I203" s="300" t="s">
        <v>53</v>
      </c>
      <c r="J203" s="81">
        <f>O58</f>
        <v>5136</v>
      </c>
      <c r="K203" s="305">
        <f>Q58</f>
        <v>231120</v>
      </c>
      <c r="L203" s="295">
        <f t="shared" si="11"/>
        <v>45</v>
      </c>
      <c r="N203" s="300" t="s">
        <v>67</v>
      </c>
      <c r="O203" s="81">
        <f t="shared" si="12"/>
        <v>249622.408406</v>
      </c>
      <c r="P203" s="334">
        <f t="shared" si="13"/>
        <v>8192996.941065941</v>
      </c>
      <c r="Q203" s="295">
        <f t="shared" si="14"/>
        <v>32.821560345417339</v>
      </c>
      <c r="R203" s="56"/>
    </row>
    <row r="204" spans="2:18" x14ac:dyDescent="0.3">
      <c r="D204" s="300" t="s">
        <v>54</v>
      </c>
      <c r="E204" s="81">
        <f>S70</f>
        <v>275727.63323199999</v>
      </c>
      <c r="F204" s="305">
        <f>U70</f>
        <v>9082543.5314676799</v>
      </c>
      <c r="G204" s="295">
        <f t="shared" si="10"/>
        <v>32.940273069495127</v>
      </c>
      <c r="I204" s="300" t="s">
        <v>54</v>
      </c>
      <c r="J204" s="81">
        <f>O73</f>
        <v>4356</v>
      </c>
      <c r="K204" s="305">
        <f>Q73</f>
        <v>196020</v>
      </c>
      <c r="L204" s="295">
        <f t="shared" si="11"/>
        <v>45</v>
      </c>
      <c r="N204" s="300" t="s">
        <v>54</v>
      </c>
      <c r="O204" s="81">
        <f t="shared" si="12"/>
        <v>271371.63323199999</v>
      </c>
      <c r="P204" s="334">
        <f t="shared" si="13"/>
        <v>8886523.5314676799</v>
      </c>
      <c r="Q204" s="295">
        <f t="shared" si="14"/>
        <v>32.746692886173726</v>
      </c>
      <c r="R204" s="56"/>
    </row>
    <row r="205" spans="2:18" x14ac:dyDescent="0.3">
      <c r="D205" s="300" t="s">
        <v>55</v>
      </c>
      <c r="E205" s="81">
        <f>S85</f>
        <v>144712.076026</v>
      </c>
      <c r="F205" s="305">
        <f>U85</f>
        <v>5068183.2598897396</v>
      </c>
      <c r="G205" s="295">
        <f t="shared" si="10"/>
        <v>35.022531630180978</v>
      </c>
      <c r="I205" s="300" t="s">
        <v>55</v>
      </c>
      <c r="J205" s="81">
        <f>O88</f>
        <v>29228</v>
      </c>
      <c r="K205" s="305">
        <f>Q88</f>
        <v>4014800</v>
      </c>
      <c r="L205" s="295">
        <f t="shared" si="11"/>
        <v>137.36143424113862</v>
      </c>
      <c r="N205" s="300" t="s">
        <v>68</v>
      </c>
      <c r="O205" s="81">
        <f t="shared" si="12"/>
        <v>115484.076026</v>
      </c>
      <c r="P205" s="334">
        <f t="shared" si="13"/>
        <v>1053383.2598897396</v>
      </c>
      <c r="Q205" s="295">
        <f t="shared" si="14"/>
        <v>9.1214589590047179</v>
      </c>
      <c r="R205" s="56"/>
    </row>
    <row r="206" spans="2:18" x14ac:dyDescent="0.3">
      <c r="D206" s="300" t="s">
        <v>56</v>
      </c>
      <c r="E206" s="81">
        <f>S100</f>
        <v>92666.092057999995</v>
      </c>
      <c r="F206" s="305">
        <f>U100</f>
        <v>3847363.98602942</v>
      </c>
      <c r="G206" s="295">
        <f t="shared" si="10"/>
        <v>41.518573844911288</v>
      </c>
      <c r="I206" s="300" t="s">
        <v>56</v>
      </c>
      <c r="J206" s="81">
        <f>O103</f>
        <v>26195</v>
      </c>
      <c r="K206" s="305">
        <f>Q103</f>
        <v>5789000</v>
      </c>
      <c r="L206" s="295">
        <f t="shared" si="11"/>
        <v>220.99637335369346</v>
      </c>
      <c r="N206" s="300" t="s">
        <v>69</v>
      </c>
      <c r="O206" s="81">
        <f t="shared" si="12"/>
        <v>66471.092057999995</v>
      </c>
      <c r="P206" s="334">
        <f t="shared" si="13"/>
        <v>-1941636.01397058</v>
      </c>
      <c r="Q206" s="295">
        <f t="shared" si="14"/>
        <v>-29.210231904665967</v>
      </c>
      <c r="R206" s="56"/>
    </row>
    <row r="207" spans="2:18" x14ac:dyDescent="0.3">
      <c r="D207" s="300" t="s">
        <v>57</v>
      </c>
      <c r="E207" s="81">
        <f>S115</f>
        <v>87022.306293000001</v>
      </c>
      <c r="F207" s="305">
        <f>U115</f>
        <v>3627037.02576207</v>
      </c>
      <c r="G207" s="295">
        <f t="shared" si="10"/>
        <v>41.679394402051436</v>
      </c>
      <c r="I207" s="300" t="s">
        <v>57</v>
      </c>
      <c r="J207" s="81">
        <f>O118</f>
        <v>24442</v>
      </c>
      <c r="K207" s="305">
        <f>Q118</f>
        <v>5482400</v>
      </c>
      <c r="L207" s="295">
        <f t="shared" si="11"/>
        <v>224.3024302430243</v>
      </c>
      <c r="N207" s="300" t="s">
        <v>70</v>
      </c>
      <c r="O207" s="81">
        <f t="shared" si="12"/>
        <v>62580.306293000001</v>
      </c>
      <c r="P207" s="334">
        <f t="shared" si="13"/>
        <v>-1855362.97423793</v>
      </c>
      <c r="Q207" s="295">
        <f t="shared" si="14"/>
        <v>-29.647713220691987</v>
      </c>
      <c r="R207" s="56"/>
    </row>
    <row r="208" spans="2:18" x14ac:dyDescent="0.3">
      <c r="D208" s="300" t="s">
        <v>58</v>
      </c>
      <c r="E208" s="81">
        <f>S130</f>
        <v>160447.28544599999</v>
      </c>
      <c r="F208" s="305">
        <f>U130</f>
        <v>8815504.9432955403</v>
      </c>
      <c r="G208" s="295">
        <f t="shared" si="10"/>
        <v>54.943310002352639</v>
      </c>
      <c r="I208" s="300" t="s">
        <v>58</v>
      </c>
      <c r="J208" s="81">
        <f>O133</f>
        <v>9020</v>
      </c>
      <c r="K208" s="305">
        <f>Q133</f>
        <v>1952000</v>
      </c>
      <c r="L208" s="295">
        <f t="shared" si="11"/>
        <v>216.4079822616408</v>
      </c>
      <c r="N208" s="300" t="s">
        <v>71</v>
      </c>
      <c r="O208" s="81">
        <f t="shared" si="12"/>
        <v>151427.28544599999</v>
      </c>
      <c r="P208" s="334">
        <f t="shared" si="13"/>
        <v>6863504.9432955403</v>
      </c>
      <c r="Q208" s="295">
        <f t="shared" si="14"/>
        <v>45.325417563158474</v>
      </c>
      <c r="R208" s="56"/>
    </row>
    <row r="209" spans="4:20" x14ac:dyDescent="0.3">
      <c r="D209" s="300" t="s">
        <v>59</v>
      </c>
      <c r="E209" s="81">
        <f>S145</f>
        <v>194006.25614799999</v>
      </c>
      <c r="F209" s="305">
        <f>U145</f>
        <v>6282848.9378885198</v>
      </c>
      <c r="G209" s="295">
        <f t="shared" si="10"/>
        <v>32.384774917235525</v>
      </c>
      <c r="I209" s="300" t="s">
        <v>59</v>
      </c>
      <c r="J209" s="81">
        <f>O148</f>
        <v>63057</v>
      </c>
      <c r="K209" s="305">
        <f>Q148</f>
        <v>3152850</v>
      </c>
      <c r="L209" s="295">
        <f t="shared" si="11"/>
        <v>50</v>
      </c>
      <c r="N209" s="300" t="s">
        <v>72</v>
      </c>
      <c r="O209" s="81">
        <f t="shared" si="12"/>
        <v>130949.25614799999</v>
      </c>
      <c r="P209" s="334">
        <f t="shared" si="13"/>
        <v>3129998.9378885198</v>
      </c>
      <c r="Q209" s="295">
        <f t="shared" si="14"/>
        <v>23.90238043315777</v>
      </c>
      <c r="R209" s="56"/>
    </row>
    <row r="210" spans="4:20" x14ac:dyDescent="0.3">
      <c r="D210" s="300" t="s">
        <v>60</v>
      </c>
      <c r="E210" s="81">
        <f>S160</f>
        <v>181189.63154199999</v>
      </c>
      <c r="F210" s="305">
        <f>U160</f>
        <v>5948273.9922345802</v>
      </c>
      <c r="G210" s="295">
        <f t="shared" si="10"/>
        <v>32.828997672837382</v>
      </c>
      <c r="I210" s="300" t="s">
        <v>60</v>
      </c>
      <c r="J210" s="81">
        <f>O163</f>
        <v>74220</v>
      </c>
      <c r="K210" s="305">
        <f>Q163</f>
        <v>3711000</v>
      </c>
      <c r="L210" s="295">
        <f t="shared" si="11"/>
        <v>50</v>
      </c>
      <c r="N210" s="300" t="s">
        <v>73</v>
      </c>
      <c r="O210" s="81">
        <f t="shared" si="12"/>
        <v>106969.63154199999</v>
      </c>
      <c r="P210" s="334">
        <f t="shared" si="13"/>
        <v>2237273.9922345802</v>
      </c>
      <c r="Q210" s="295">
        <f t="shared" si="14"/>
        <v>20.915038782349633</v>
      </c>
      <c r="R210" s="56"/>
    </row>
    <row r="211" spans="4:20" x14ac:dyDescent="0.3">
      <c r="D211" s="302" t="s">
        <v>61</v>
      </c>
      <c r="E211" s="103">
        <f>S175</f>
        <v>176496.186544</v>
      </c>
      <c r="F211" s="306">
        <f>U175</f>
        <v>5838624.0409845598</v>
      </c>
      <c r="G211" s="303">
        <f t="shared" si="10"/>
        <v>33.08073763695176</v>
      </c>
      <c r="H211" s="304"/>
      <c r="I211" s="302" t="s">
        <v>61</v>
      </c>
      <c r="J211" s="81">
        <f>O178</f>
        <v>77137</v>
      </c>
      <c r="K211" s="305">
        <f>Q178</f>
        <v>4628220</v>
      </c>
      <c r="L211" s="295">
        <f t="shared" si="11"/>
        <v>60</v>
      </c>
      <c r="N211" s="300" t="s">
        <v>74</v>
      </c>
      <c r="O211" s="81">
        <f t="shared" si="12"/>
        <v>99359.186543999997</v>
      </c>
      <c r="P211" s="334">
        <f t="shared" si="13"/>
        <v>1210404.0409845598</v>
      </c>
      <c r="Q211" s="295">
        <f t="shared" si="14"/>
        <v>12.182104977767176</v>
      </c>
      <c r="R211" s="56"/>
      <c r="S211" s="313" t="s">
        <v>380</v>
      </c>
      <c r="T211" s="313"/>
    </row>
    <row r="212" spans="4:20" x14ac:dyDescent="0.3">
      <c r="D212" s="308" t="s">
        <v>93</v>
      </c>
      <c r="E212" s="80">
        <f>SUM(E200:E211)</f>
        <v>2263396.1114500002</v>
      </c>
      <c r="F212" s="310">
        <f>SUM(F200:F211)</f>
        <v>80996701.904385492</v>
      </c>
      <c r="G212" s="311">
        <f t="shared" si="10"/>
        <v>35.7854736493722</v>
      </c>
      <c r="I212" s="308" t="s">
        <v>93</v>
      </c>
      <c r="J212" s="80">
        <f>SUM(J200:J211)</f>
        <v>418631</v>
      </c>
      <c r="K212" s="310">
        <f>SUM(K200:K211)</f>
        <v>35121485</v>
      </c>
      <c r="L212" s="311">
        <f t="shared" si="11"/>
        <v>83.896044487866405</v>
      </c>
      <c r="N212" s="308" t="s">
        <v>93</v>
      </c>
      <c r="O212" s="80">
        <f>SUM(O200:O211)</f>
        <v>1844765.11145</v>
      </c>
      <c r="P212" s="335">
        <f>SUM(P200:P211)</f>
        <v>45875216.904385492</v>
      </c>
      <c r="Q212" s="311">
        <f t="shared" si="14"/>
        <v>24.867782147249745</v>
      </c>
      <c r="S212" s="315"/>
      <c r="T212" s="313" t="s">
        <v>381</v>
      </c>
    </row>
    <row r="213" spans="4:20" x14ac:dyDescent="0.3">
      <c r="N213" s="308" t="s">
        <v>376</v>
      </c>
      <c r="O213" s="80">
        <f>O212*1.04</f>
        <v>1918555.715908</v>
      </c>
      <c r="P213" s="335">
        <f>P212*1.04</f>
        <v>47710225.580560915</v>
      </c>
      <c r="Q213" s="311">
        <f>P213/O213</f>
        <v>24.867782147249745</v>
      </c>
      <c r="S213" s="315"/>
      <c r="T213" s="313" t="s">
        <v>382</v>
      </c>
    </row>
    <row r="214" spans="4:20" x14ac:dyDescent="0.3">
      <c r="N214" s="312" t="s">
        <v>431</v>
      </c>
      <c r="O214" s="315"/>
      <c r="P214" s="61">
        <f>P213+10000*59</f>
        <v>48300225.580560915</v>
      </c>
    </row>
    <row r="216" spans="4:20" x14ac:dyDescent="0.3">
      <c r="N216" s="37"/>
    </row>
    <row r="218" spans="4:20" x14ac:dyDescent="0.3">
      <c r="N218" s="308" t="s">
        <v>227</v>
      </c>
      <c r="O218" s="308" t="s">
        <v>227</v>
      </c>
    </row>
    <row r="219" spans="4:20" x14ac:dyDescent="0.3">
      <c r="N219" s="308" t="s">
        <v>228</v>
      </c>
      <c r="O219" s="308" t="s">
        <v>229</v>
      </c>
    </row>
    <row r="220" spans="4:20" x14ac:dyDescent="0.3">
      <c r="N220" s="308" t="s">
        <v>230</v>
      </c>
      <c r="O220" s="308" t="s">
        <v>230</v>
      </c>
    </row>
    <row r="221" spans="4:20" x14ac:dyDescent="0.3">
      <c r="N221" s="61">
        <f>P213/Load!$P$33</f>
        <v>46.746637149008407</v>
      </c>
      <c r="O221" s="61">
        <f>P214/(Load!$P$26+22050)</f>
        <v>45.004207436338369</v>
      </c>
      <c r="P221" s="216" t="s">
        <v>459</v>
      </c>
    </row>
    <row r="222" spans="4:20" x14ac:dyDescent="0.3">
      <c r="O222" s="61">
        <f>(P214+('Lake Pleasant Forecast'!R57-'Lake Pleasant Forecast'!R105)*51)/(Load!P26+22500)</f>
        <v>49.220222733396213</v>
      </c>
      <c r="P222" s="480" t="s">
        <v>511</v>
      </c>
      <c r="Q222" s="49"/>
    </row>
    <row r="223" spans="4:20" x14ac:dyDescent="0.3">
      <c r="O223" s="61">
        <f>+O222+1.95</f>
        <v>51.170222733396216</v>
      </c>
      <c r="P223" s="122" t="s">
        <v>430</v>
      </c>
      <c r="Q223" s="83"/>
    </row>
  </sheetData>
  <mergeCells count="53">
    <mergeCell ref="S2:V2"/>
    <mergeCell ref="B32:H32"/>
    <mergeCell ref="I32:K32"/>
    <mergeCell ref="L32:N32"/>
    <mergeCell ref="O32:Q32"/>
    <mergeCell ref="B17:H17"/>
    <mergeCell ref="I17:K17"/>
    <mergeCell ref="L17:N17"/>
    <mergeCell ref="O17:Q17"/>
    <mergeCell ref="B2:H2"/>
    <mergeCell ref="I2:K2"/>
    <mergeCell ref="L2:N2"/>
    <mergeCell ref="O2:Q2"/>
    <mergeCell ref="B47:H47"/>
    <mergeCell ref="I47:K47"/>
    <mergeCell ref="L47:N47"/>
    <mergeCell ref="O47:Q47"/>
    <mergeCell ref="B62:H62"/>
    <mergeCell ref="I62:K62"/>
    <mergeCell ref="L62:N62"/>
    <mergeCell ref="O62:Q62"/>
    <mergeCell ref="B77:H77"/>
    <mergeCell ref="I77:K77"/>
    <mergeCell ref="L77:N77"/>
    <mergeCell ref="O77:Q77"/>
    <mergeCell ref="B92:H92"/>
    <mergeCell ref="I92:K92"/>
    <mergeCell ref="L92:N92"/>
    <mergeCell ref="O92:Q92"/>
    <mergeCell ref="B107:H107"/>
    <mergeCell ref="I107:K107"/>
    <mergeCell ref="L107:N107"/>
    <mergeCell ref="O107:Q107"/>
    <mergeCell ref="B122:H122"/>
    <mergeCell ref="I122:K122"/>
    <mergeCell ref="L122:N122"/>
    <mergeCell ref="O122:Q122"/>
    <mergeCell ref="B137:H137"/>
    <mergeCell ref="I137:K137"/>
    <mergeCell ref="L137:N137"/>
    <mergeCell ref="O137:Q137"/>
    <mergeCell ref="B182:H182"/>
    <mergeCell ref="I182:K182"/>
    <mergeCell ref="L182:N182"/>
    <mergeCell ref="O182:Q182"/>
    <mergeCell ref="B152:H152"/>
    <mergeCell ref="I152:K152"/>
    <mergeCell ref="L152:N152"/>
    <mergeCell ref="O152:Q152"/>
    <mergeCell ref="B167:H167"/>
    <mergeCell ref="I167:K167"/>
    <mergeCell ref="L167:N167"/>
    <mergeCell ref="O167:Q167"/>
  </mergeCells>
  <pageMargins left="0.7" right="0.7" top="0.75" bottom="0.75" header="0.3" footer="0.3"/>
  <pageSetup paperSize="5" scale="45"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T30"/>
  <sheetViews>
    <sheetView tabSelected="1" workbookViewId="0">
      <selection activeCell="B3" sqref="B3"/>
    </sheetView>
  </sheetViews>
  <sheetFormatPr defaultRowHeight="14.4" x14ac:dyDescent="0.3"/>
  <cols>
    <col min="2" max="2" width="34.109375" customWidth="1"/>
  </cols>
  <sheetData>
    <row r="2" spans="2:20" x14ac:dyDescent="0.3">
      <c r="B2" s="89" t="s">
        <v>390</v>
      </c>
    </row>
    <row r="3" spans="2:20" x14ac:dyDescent="0.3">
      <c r="B3" t="s">
        <v>391</v>
      </c>
      <c r="C3">
        <v>48.5</v>
      </c>
    </row>
    <row r="4" spans="2:20" x14ac:dyDescent="0.3">
      <c r="B4" t="s">
        <v>392</v>
      </c>
      <c r="C4">
        <v>48.35</v>
      </c>
    </row>
    <row r="5" spans="2:20" x14ac:dyDescent="0.3">
      <c r="B5" t="s">
        <v>393</v>
      </c>
      <c r="C5">
        <v>52</v>
      </c>
    </row>
    <row r="6" spans="2:20" x14ac:dyDescent="0.3">
      <c r="B6" t="s">
        <v>394</v>
      </c>
      <c r="C6">
        <v>50.6</v>
      </c>
    </row>
    <row r="7" spans="2:20" x14ac:dyDescent="0.3">
      <c r="B7" t="s">
        <v>395</v>
      </c>
      <c r="C7">
        <v>0.48499999999999999</v>
      </c>
    </row>
    <row r="9" spans="2:20" x14ac:dyDescent="0.3">
      <c r="B9" s="89" t="s">
        <v>428</v>
      </c>
    </row>
    <row r="10" spans="2:20" s="313" customFormat="1" x14ac:dyDescent="0.3">
      <c r="B10" s="53" t="s">
        <v>478</v>
      </c>
    </row>
    <row r="11" spans="2:20" x14ac:dyDescent="0.3">
      <c r="B11" s="313" t="s">
        <v>471</v>
      </c>
      <c r="C11" s="313"/>
      <c r="D11" s="313"/>
      <c r="E11" s="313"/>
      <c r="F11" s="313"/>
      <c r="G11" s="313"/>
      <c r="H11" s="313"/>
      <c r="I11" s="313"/>
      <c r="J11" s="313"/>
      <c r="K11" s="313"/>
      <c r="L11" s="313"/>
      <c r="M11" s="313"/>
      <c r="N11" s="313"/>
      <c r="O11" s="313"/>
      <c r="P11" s="313"/>
      <c r="Q11" s="313"/>
      <c r="R11" s="313"/>
      <c r="S11" s="313"/>
      <c r="T11" s="313"/>
    </row>
    <row r="12" spans="2:20" x14ac:dyDescent="0.3">
      <c r="B12" s="313" t="s">
        <v>472</v>
      </c>
      <c r="C12" s="313"/>
      <c r="D12" s="313"/>
      <c r="E12" s="313"/>
      <c r="F12" s="313"/>
      <c r="G12" s="313"/>
      <c r="H12" s="313"/>
      <c r="I12" s="313"/>
      <c r="J12" s="313"/>
      <c r="K12" s="313"/>
      <c r="L12" s="313"/>
      <c r="M12" s="313"/>
      <c r="N12" s="313"/>
      <c r="O12" s="313"/>
      <c r="P12" s="313"/>
      <c r="Q12" s="313"/>
      <c r="R12" s="313"/>
      <c r="S12" s="313"/>
      <c r="T12" s="313"/>
    </row>
    <row r="13" spans="2:20" x14ac:dyDescent="0.3">
      <c r="B13" s="313" t="s">
        <v>479</v>
      </c>
      <c r="C13" s="313"/>
      <c r="D13" s="313"/>
      <c r="E13" s="313"/>
      <c r="F13" s="313"/>
      <c r="G13" s="313"/>
      <c r="H13" s="313"/>
      <c r="I13" s="313"/>
      <c r="J13" s="313"/>
      <c r="K13" s="313"/>
      <c r="L13" s="313"/>
      <c r="M13" s="313"/>
      <c r="N13" s="313"/>
      <c r="O13" s="313"/>
      <c r="P13" s="313"/>
      <c r="Q13" s="313"/>
      <c r="R13" s="313"/>
      <c r="S13" s="313"/>
      <c r="T13" s="313"/>
    </row>
    <row r="14" spans="2:20" x14ac:dyDescent="0.3">
      <c r="B14" s="313" t="s">
        <v>396</v>
      </c>
      <c r="C14" s="313"/>
      <c r="D14" s="313"/>
      <c r="E14" s="313"/>
      <c r="F14" s="313"/>
      <c r="G14" s="313"/>
      <c r="H14" s="313"/>
      <c r="I14" s="313"/>
      <c r="J14" s="313"/>
      <c r="K14" s="313"/>
      <c r="L14" s="313"/>
      <c r="M14" s="313"/>
      <c r="N14" s="313"/>
      <c r="O14" s="313"/>
      <c r="P14" s="313"/>
      <c r="Q14" s="313"/>
      <c r="R14" s="313"/>
      <c r="S14" s="313"/>
      <c r="T14" s="313"/>
    </row>
    <row r="15" spans="2:20" s="313" customFormat="1" x14ac:dyDescent="0.3">
      <c r="B15" s="313" t="s">
        <v>404</v>
      </c>
    </row>
    <row r="16" spans="2:20" x14ac:dyDescent="0.3">
      <c r="B16" s="313" t="s">
        <v>397</v>
      </c>
      <c r="C16" s="313"/>
      <c r="D16" s="313"/>
      <c r="E16" s="313"/>
      <c r="F16" s="313"/>
      <c r="G16" s="313"/>
      <c r="H16" s="313"/>
      <c r="I16" s="313"/>
      <c r="J16" s="313"/>
      <c r="K16" s="313"/>
      <c r="L16" s="313"/>
      <c r="M16" s="313"/>
      <c r="N16" s="313"/>
      <c r="O16" s="313"/>
      <c r="P16" s="313"/>
      <c r="Q16" s="313"/>
      <c r="R16" s="313"/>
      <c r="S16" s="313"/>
      <c r="T16" s="313"/>
    </row>
    <row r="17" spans="2:20" x14ac:dyDescent="0.3">
      <c r="B17" s="313" t="s">
        <v>476</v>
      </c>
      <c r="C17" s="313"/>
      <c r="D17" s="313"/>
      <c r="E17" s="313"/>
      <c r="F17" s="313"/>
      <c r="G17" s="313"/>
      <c r="H17" s="313"/>
      <c r="I17" s="313"/>
      <c r="J17" s="313"/>
      <c r="K17" s="313"/>
      <c r="L17" s="313"/>
      <c r="M17" s="313"/>
      <c r="N17" s="313"/>
      <c r="O17" s="313"/>
      <c r="P17" s="313"/>
      <c r="Q17" s="313"/>
      <c r="R17" s="313"/>
      <c r="S17" s="313"/>
      <c r="T17" s="313"/>
    </row>
    <row r="18" spans="2:20" x14ac:dyDescent="0.3">
      <c r="B18" s="313"/>
      <c r="C18" s="313"/>
      <c r="D18" s="313"/>
      <c r="E18" s="313"/>
      <c r="F18" s="313"/>
      <c r="G18" s="313"/>
      <c r="H18" s="313"/>
      <c r="I18" s="313"/>
      <c r="J18" s="313"/>
      <c r="K18" s="313"/>
      <c r="L18" s="313"/>
      <c r="M18" s="313"/>
      <c r="N18" s="313"/>
      <c r="O18" s="313"/>
      <c r="P18" s="313"/>
      <c r="Q18" s="313"/>
      <c r="R18" s="313"/>
      <c r="S18" s="313"/>
      <c r="T18" s="313"/>
    </row>
    <row r="19" spans="2:20" x14ac:dyDescent="0.3">
      <c r="B19" s="89" t="s">
        <v>399</v>
      </c>
      <c r="C19" s="313"/>
      <c r="D19" s="313"/>
      <c r="E19" s="313"/>
      <c r="F19" s="313"/>
      <c r="G19" s="313"/>
      <c r="H19" s="313"/>
      <c r="I19" s="313"/>
      <c r="J19" s="313"/>
      <c r="K19" s="313"/>
      <c r="L19" s="313"/>
      <c r="M19" s="313"/>
      <c r="N19" s="313"/>
      <c r="O19" s="313"/>
      <c r="P19" s="313"/>
      <c r="Q19" s="313"/>
      <c r="R19" s="313"/>
      <c r="S19" s="313"/>
      <c r="T19" s="313"/>
    </row>
    <row r="20" spans="2:20" x14ac:dyDescent="0.3">
      <c r="B20" s="313" t="s">
        <v>400</v>
      </c>
      <c r="C20" s="313"/>
      <c r="D20" s="313"/>
      <c r="E20" s="313"/>
      <c r="F20" s="313"/>
      <c r="G20" s="313"/>
      <c r="H20" s="313"/>
      <c r="I20" s="313"/>
      <c r="J20" s="313"/>
      <c r="K20" s="313"/>
      <c r="L20" s="313"/>
      <c r="M20" s="313"/>
      <c r="N20" s="313"/>
      <c r="O20" s="313"/>
      <c r="P20" s="313"/>
      <c r="Q20" s="313"/>
      <c r="R20" s="313"/>
      <c r="S20" s="313"/>
      <c r="T20" s="313"/>
    </row>
    <row r="21" spans="2:20" x14ac:dyDescent="0.3">
      <c r="B21" s="313" t="s">
        <v>401</v>
      </c>
      <c r="C21" s="313"/>
      <c r="D21" s="313"/>
      <c r="E21" s="313"/>
      <c r="F21" s="313"/>
      <c r="G21" s="313"/>
      <c r="H21" s="313"/>
      <c r="I21" s="313"/>
      <c r="J21" s="313"/>
      <c r="K21" s="313"/>
      <c r="L21" s="313"/>
      <c r="M21" s="313"/>
      <c r="N21" s="313"/>
      <c r="O21" s="313"/>
      <c r="P21" s="313"/>
      <c r="Q21" s="313"/>
      <c r="R21" s="313"/>
      <c r="S21" s="313"/>
      <c r="T21" s="313"/>
    </row>
    <row r="22" spans="2:20" s="313" customFormat="1" x14ac:dyDescent="0.3">
      <c r="B22" s="313" t="s">
        <v>475</v>
      </c>
    </row>
    <row r="23" spans="2:20" x14ac:dyDescent="0.3">
      <c r="B23" s="313"/>
      <c r="C23" s="313"/>
      <c r="D23" s="313"/>
      <c r="E23" s="313"/>
      <c r="F23" s="313"/>
      <c r="G23" s="313"/>
      <c r="H23" s="313"/>
      <c r="I23" s="313"/>
      <c r="J23" s="313"/>
      <c r="K23" s="313"/>
      <c r="L23" s="313"/>
      <c r="M23" s="313"/>
      <c r="N23" s="313"/>
      <c r="O23" s="313"/>
      <c r="P23" s="313"/>
      <c r="Q23" s="313"/>
      <c r="R23" s="313"/>
      <c r="S23" s="313"/>
      <c r="T23" s="313"/>
    </row>
    <row r="24" spans="2:20" x14ac:dyDescent="0.3">
      <c r="B24" s="89" t="s">
        <v>402</v>
      </c>
      <c r="C24" s="313"/>
      <c r="D24" s="313"/>
      <c r="E24" s="313"/>
      <c r="F24" s="313"/>
      <c r="G24" s="313"/>
      <c r="H24" s="313"/>
      <c r="I24" s="313"/>
      <c r="J24" s="313"/>
      <c r="K24" s="313"/>
      <c r="L24" s="313"/>
      <c r="M24" s="313"/>
      <c r="N24" s="313"/>
      <c r="O24" s="313"/>
      <c r="P24" s="313"/>
      <c r="Q24" s="313"/>
      <c r="R24" s="313"/>
      <c r="S24" s="313"/>
      <c r="T24" s="313"/>
    </row>
    <row r="25" spans="2:20" x14ac:dyDescent="0.3">
      <c r="B25" s="313" t="s">
        <v>474</v>
      </c>
      <c r="C25" s="313"/>
      <c r="D25" s="313"/>
      <c r="E25" s="313"/>
      <c r="F25" s="313"/>
      <c r="G25" s="313"/>
      <c r="H25" s="313"/>
      <c r="I25" s="313"/>
      <c r="J25" s="313"/>
      <c r="K25" s="313"/>
      <c r="L25" s="313"/>
      <c r="M25" s="313"/>
      <c r="N25" s="313"/>
      <c r="O25" s="313"/>
      <c r="P25" s="313"/>
      <c r="Q25" s="313"/>
      <c r="R25" s="313"/>
      <c r="S25" s="313"/>
      <c r="T25" s="313"/>
    </row>
    <row r="26" spans="2:20" x14ac:dyDescent="0.3">
      <c r="B26" s="313"/>
      <c r="C26" s="313"/>
      <c r="D26" s="313"/>
      <c r="E26" s="313"/>
      <c r="F26" s="313"/>
      <c r="G26" s="313"/>
      <c r="H26" s="313"/>
      <c r="I26" s="313"/>
      <c r="J26" s="313"/>
      <c r="K26" s="313"/>
      <c r="L26" s="313"/>
      <c r="M26" s="313"/>
      <c r="N26" s="313"/>
      <c r="O26" s="313"/>
      <c r="P26" s="313"/>
      <c r="Q26" s="313"/>
      <c r="R26" s="313"/>
      <c r="S26" s="313"/>
      <c r="T26" s="313"/>
    </row>
    <row r="27" spans="2:20" x14ac:dyDescent="0.3">
      <c r="B27" s="89" t="s">
        <v>477</v>
      </c>
      <c r="C27" s="313"/>
      <c r="D27" s="313"/>
      <c r="E27" s="313"/>
      <c r="F27" s="313"/>
      <c r="G27" s="313"/>
      <c r="H27" s="313"/>
      <c r="I27" s="313"/>
      <c r="J27" s="313"/>
      <c r="K27" s="313"/>
      <c r="L27" s="313"/>
      <c r="M27" s="313"/>
      <c r="N27" s="313"/>
      <c r="O27" s="313"/>
      <c r="P27" s="313"/>
      <c r="Q27" s="313"/>
      <c r="R27" s="313"/>
      <c r="S27" s="313"/>
      <c r="T27" s="313"/>
    </row>
    <row r="28" spans="2:20" x14ac:dyDescent="0.3">
      <c r="B28" s="313" t="s">
        <v>403</v>
      </c>
      <c r="C28" s="313"/>
      <c r="D28" s="313"/>
      <c r="E28" s="313"/>
      <c r="F28" s="313"/>
      <c r="G28" s="313"/>
      <c r="H28" s="313"/>
      <c r="I28" s="313"/>
      <c r="J28" s="313"/>
      <c r="K28" s="313"/>
      <c r="L28" s="313"/>
      <c r="M28" s="313"/>
      <c r="N28" s="313"/>
      <c r="O28" s="313"/>
      <c r="P28" s="313"/>
      <c r="Q28" s="313"/>
      <c r="R28" s="313"/>
      <c r="S28" s="313"/>
      <c r="T28" s="313"/>
    </row>
    <row r="29" spans="2:20" x14ac:dyDescent="0.3">
      <c r="B29" s="313" t="s">
        <v>473</v>
      </c>
      <c r="C29" s="313"/>
      <c r="D29" s="313"/>
      <c r="E29" s="313"/>
      <c r="F29" s="313"/>
      <c r="G29" s="313"/>
      <c r="H29" s="313"/>
      <c r="I29" s="313"/>
      <c r="J29" s="313"/>
      <c r="K29" s="313"/>
      <c r="L29" s="313"/>
      <c r="M29" s="313"/>
      <c r="N29" s="313"/>
      <c r="O29" s="313"/>
      <c r="P29" s="313"/>
      <c r="Q29" s="313"/>
      <c r="R29" s="313"/>
      <c r="S29" s="313"/>
      <c r="T29" s="313"/>
    </row>
    <row r="30" spans="2:20" x14ac:dyDescent="0.3">
      <c r="B30" s="313"/>
      <c r="C30" s="313"/>
      <c r="D30" s="313"/>
      <c r="E30" s="313"/>
      <c r="F30" s="313"/>
      <c r="G30" s="313"/>
      <c r="H30" s="313"/>
      <c r="I30" s="313"/>
      <c r="J30" s="313"/>
      <c r="K30" s="313"/>
      <c r="L30" s="313"/>
      <c r="M30" s="313"/>
      <c r="N30" s="313"/>
      <c r="O30" s="313"/>
      <c r="P30" s="313"/>
      <c r="Q30" s="313"/>
      <c r="R30" s="313"/>
      <c r="S30" s="313"/>
      <c r="T30" s="313"/>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2022</vt:lpstr>
      <vt:lpstr>Resource Chart</vt:lpstr>
      <vt:lpstr>Hoover with 30 MW Solar</vt:lpstr>
      <vt:lpstr>Load</vt:lpstr>
      <vt:lpstr>Lake Pleasant Forecast</vt:lpstr>
      <vt:lpstr>Lake Pleasant Rolling Schedule</vt:lpstr>
      <vt:lpstr>2022 Transaction Totals</vt:lpstr>
      <vt:lpstr>Notes</vt:lpstr>
      <vt:lpstr>'2022 Transaction Totals'!Print_Area</vt:lpstr>
      <vt:lpstr>'Lake Pleasant Forecast'!Print_Area</vt:lpstr>
      <vt:lpstr>'Lake Pleasant Rolling Schedule'!Print_Area</vt:lpstr>
      <vt:lpstr>'Lake Pleasant Rolling Schedule'!Print_Titles</vt:lpstr>
    </vt:vector>
  </TitlesOfParts>
  <Company>Central Arizona Project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Bryce Dininger</dc:creator>
  <cp:lastModifiedBy>Gorelick, David</cp:lastModifiedBy>
  <cp:lastPrinted>2019-07-11T13:34:47Z</cp:lastPrinted>
  <dcterms:created xsi:type="dcterms:W3CDTF">2019-05-02T15:30:08Z</dcterms:created>
  <dcterms:modified xsi:type="dcterms:W3CDTF">2022-05-03T17:00:20Z</dcterms:modified>
</cp:coreProperties>
</file>