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13_ncr:1_{9B2A2BA0-BA0C-40C5-9BC9-1EAEFC8EC4C9}" xr6:coauthVersionLast="47" xr6:coauthVersionMax="47" xr10:uidLastSave="{00000000-0000-0000-0000-000000000000}"/>
  <bookViews>
    <workbookView xWindow="28680" yWindow="-2685" windowWidth="29040" windowHeight="15840" activeTab="3" xr2:uid="{61DD4B4F-C632-468B-B103-BABDAF6FDB23}"/>
  </bookViews>
  <sheets>
    <sheet name="ADAM" sheetId="1" r:id="rId1"/>
    <sheet name="HEPO" sheetId="2" r:id="rId2"/>
    <sheet name="IKEJAS" sheetId="3" r:id="rId3"/>
    <sheet name="Hoja2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5" l="1"/>
  <c r="D15" i="5"/>
  <c r="D16" i="5"/>
  <c r="D17" i="5"/>
  <c r="D18" i="5"/>
  <c r="D19" i="5"/>
  <c r="D20" i="5"/>
  <c r="D14" i="5"/>
  <c r="C21" i="5"/>
  <c r="C15" i="5"/>
  <c r="C16" i="5"/>
  <c r="C17" i="5"/>
  <c r="C18" i="5"/>
  <c r="C19" i="5"/>
  <c r="C20" i="5"/>
  <c r="C14" i="5"/>
  <c r="B21" i="5"/>
  <c r="B15" i="5"/>
  <c r="B16" i="5"/>
  <c r="B17" i="5"/>
  <c r="B18" i="5"/>
  <c r="B19" i="5"/>
  <c r="B20" i="5"/>
  <c r="B14" i="5"/>
  <c r="C9" i="5"/>
  <c r="D9" i="5"/>
  <c r="B9" i="5"/>
  <c r="R12" i="3"/>
  <c r="R13" i="3"/>
  <c r="R8" i="3"/>
  <c r="R9" i="3"/>
  <c r="R7" i="3"/>
  <c r="R10" i="3"/>
  <c r="R11" i="3"/>
  <c r="R14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Q22" i="3"/>
  <c r="Q29" i="3" s="1"/>
  <c r="P22" i="3"/>
  <c r="O22" i="3"/>
  <c r="O29" i="3" s="1"/>
  <c r="N22" i="3"/>
  <c r="N29" i="3" s="1"/>
  <c r="M22" i="3"/>
  <c r="M29" i="3" s="1"/>
  <c r="L22" i="3"/>
  <c r="K22" i="3"/>
  <c r="K29" i="3" s="1"/>
  <c r="J22" i="3"/>
  <c r="J29" i="3" s="1"/>
  <c r="I22" i="3"/>
  <c r="I29" i="3" s="1"/>
  <c r="H22" i="3"/>
  <c r="G22" i="3"/>
  <c r="G29" i="3" s="1"/>
  <c r="F22" i="3"/>
  <c r="F29" i="3" s="1"/>
  <c r="E22" i="3"/>
  <c r="D22" i="3"/>
  <c r="C22" i="3"/>
  <c r="C29" i="3" s="1"/>
  <c r="B22" i="3"/>
  <c r="B29" i="3" s="1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R15" i="3"/>
  <c r="R6" i="3"/>
  <c r="R5" i="3"/>
  <c r="R4" i="3"/>
  <c r="R3" i="3"/>
  <c r="R2" i="3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Q11" i="2"/>
  <c r="Q18" i="2" s="1"/>
  <c r="P11" i="2"/>
  <c r="O11" i="2"/>
  <c r="O18" i="2" s="1"/>
  <c r="N11" i="2"/>
  <c r="M11" i="2"/>
  <c r="M18" i="2" s="1"/>
  <c r="L11" i="2"/>
  <c r="L18" i="2" s="1"/>
  <c r="K11" i="2"/>
  <c r="K18" i="2" s="1"/>
  <c r="J11" i="2"/>
  <c r="I11" i="2"/>
  <c r="I18" i="2" s="1"/>
  <c r="H11" i="2"/>
  <c r="H18" i="2" s="1"/>
  <c r="G11" i="2"/>
  <c r="G18" i="2" s="1"/>
  <c r="F11" i="2"/>
  <c r="F18" i="2" s="1"/>
  <c r="E11" i="2"/>
  <c r="E18" i="2" s="1"/>
  <c r="D11" i="2"/>
  <c r="C11" i="2"/>
  <c r="B11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R4" i="2"/>
  <c r="R3" i="2"/>
  <c r="R2" i="2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R15" i="1"/>
  <c r="R16" i="1"/>
  <c r="R17" i="1"/>
  <c r="R18" i="1"/>
  <c r="R19" i="1"/>
  <c r="R20" i="1"/>
  <c r="R14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B21" i="1"/>
  <c r="B20" i="1"/>
  <c r="B19" i="1"/>
  <c r="B18" i="1"/>
  <c r="B17" i="1"/>
  <c r="B16" i="1"/>
  <c r="B15" i="1"/>
  <c r="B14" i="1"/>
  <c r="I8" i="1"/>
  <c r="J8" i="1"/>
  <c r="K8" i="1"/>
  <c r="L8" i="1"/>
  <c r="M8" i="1"/>
  <c r="N8" i="1"/>
  <c r="O8" i="1"/>
  <c r="P8" i="1"/>
  <c r="Q8" i="1"/>
  <c r="R2" i="1"/>
  <c r="R3" i="1"/>
  <c r="R4" i="1"/>
  <c r="R5" i="1"/>
  <c r="R6" i="1"/>
  <c r="R7" i="1"/>
  <c r="H8" i="1"/>
  <c r="G8" i="1"/>
  <c r="F8" i="1"/>
  <c r="E8" i="1"/>
  <c r="D8" i="1"/>
  <c r="C8" i="1"/>
  <c r="B8" i="1"/>
  <c r="P29" i="3" l="1"/>
  <c r="H29" i="3"/>
  <c r="E29" i="3"/>
  <c r="R23" i="3"/>
  <c r="R24" i="3"/>
  <c r="R25" i="3"/>
  <c r="R26" i="3"/>
  <c r="R27" i="3"/>
  <c r="R28" i="3"/>
  <c r="R16" i="3"/>
  <c r="D29" i="3"/>
  <c r="L29" i="3"/>
  <c r="R22" i="3"/>
  <c r="N18" i="2"/>
  <c r="C18" i="2"/>
  <c r="P18" i="2"/>
  <c r="D18" i="2"/>
  <c r="R5" i="2"/>
  <c r="R11" i="2"/>
  <c r="R12" i="2"/>
  <c r="R13" i="2"/>
  <c r="R14" i="2"/>
  <c r="R15" i="2"/>
  <c r="R16" i="2"/>
  <c r="B18" i="2"/>
  <c r="R17" i="2"/>
  <c r="J18" i="2"/>
  <c r="R8" i="1"/>
  <c r="R29" i="3" l="1"/>
  <c r="R18" i="2"/>
</calcChain>
</file>

<file path=xl/sharedStrings.xml><?xml version="1.0" encoding="utf-8"?>
<sst xmlns="http://schemas.openxmlformats.org/spreadsheetml/2006/main" count="157" uniqueCount="31">
  <si>
    <t>Encuestados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</si>
  <si>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</si>
  <si>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</si>
  <si>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</si>
  <si>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</si>
  <si>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</si>
  <si>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</si>
  <si>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</si>
  <si>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</si>
  <si>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</si>
  <si>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Total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</si>
  <si>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</si>
  <si>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</si>
  <si>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</si>
  <si>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</si>
  <si>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</si>
  <si>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</si>
  <si>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</si>
  <si>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Grado de Satisfacción</t>
  </si>
  <si>
    <t>Totalmente Satisfecho</t>
  </si>
  <si>
    <t>Satisfecho</t>
  </si>
  <si>
    <t>Totalmente Insatisfecho</t>
  </si>
  <si>
    <t>Algo insatisfecho</t>
  </si>
  <si>
    <t>No estoy satisfecho</t>
  </si>
  <si>
    <t>Un poco Satisfecho</t>
  </si>
  <si>
    <t>Neutral</t>
  </si>
  <si>
    <t>Totales</t>
  </si>
  <si>
    <t>ADAM</t>
  </si>
  <si>
    <t>HEPO</t>
  </si>
  <si>
    <t>IKEJAS</t>
  </si>
  <si>
    <t>Escala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</si>
</sst>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Bell MT"/>
      <family val="1"/>
    </font>
    <font>
      <b/>
      <i/>
      <sz val="11"/>
      <color theme="0"/>
      <name val="Bell MT"/>
      <family val="1"/>
    </font>
    <font>
      <b/>
      <i/>
      <sz val="11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5" fillId="3" borderId="7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0" borderId="7" xfId="0" applyBorder="1"/>
    <xf numFmtId="2" fontId="0" fillId="6" borderId="7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1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Bell MT"/>
        <family val="1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Bell MT"/>
        <family val="1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rgb="FFFFFFFF"/>
      </font>
      <fill>
        <patternFill patternType="solid">
          <fgColor rgb="FF000000"/>
          <bgColor rgb="FF2F75B5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1"/>
        <color rgb="FFFFFFFF"/>
      </font>
      <fill>
        <patternFill patternType="solid">
          <fgColor rgb="FF000000"/>
          <bgColor rgb="FF2F75B5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Bell MT"/>
        <family val="1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0"/>
      </font>
      <fill>
        <patternFill patternType="solid">
          <fgColor indexed="64"/>
          <bgColor theme="8" tint="-0.249977111117893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Resultado de encuesta de usabilidad </a:t>
            </a:r>
            <a:r>
              <a:rPr lang="en-US" baseline="0"/>
              <a:t>Equipo "ADAM"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55448683002525E-2"/>
          <c:y val="0.22597750301504502"/>
          <c:w val="0.83085008714669251"/>
          <c:h val="0.57792775980957001"/>
        </c:manualLayout>
      </c:layout>
      <c:pie3DChart>
        <c:varyColors val="1"/>
        <c:ser>
          <c:idx val="0"/>
          <c:order val="0"/>
          <c:tx>
            <c:strRef>
              <c:f>ADAM!$R$13</c:f>
              <c:strCache>
                <c:ptCount val="1"/>
                <c:pt idx="0">
                  <c:v>Totales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4025-4FB3-A52E-B847E17AD49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4025-4FB3-A52E-B847E17AD49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4025-4FB3-A52E-B847E17AD49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4025-4FB3-A52E-B847E17AD49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4025-4FB3-A52E-B847E17AD49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4025-4FB3-A52E-B847E17AD49A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4025-4FB3-A52E-B847E17AD4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ADAM!$A$14:$A$20</c:f>
              <c:strCache>
                <c:ptCount val="7"/>
                <c:pt idx="0">
                  <c:v>Totalmente Satisfecho</c:v>
                </c:pt>
                <c:pt idx="1">
                  <c:v>Satisfecho</c:v>
                </c:pt>
                <c:pt idx="2">
                  <c:v>Un poco Satisfecho</c:v>
                </c:pt>
                <c:pt idx="3">
                  <c:v>Neutral</c:v>
                </c:pt>
                <c:pt idx="4">
                  <c:v>Algo insatisfecho</c:v>
                </c:pt>
                <c:pt idx="5">
                  <c:v>No estoy satisfecho</c:v>
                </c:pt>
                <c:pt idx="6">
                  <c:v>Totalmente Insatisfecho</c:v>
                </c:pt>
              </c:strCache>
            </c:strRef>
          </c:cat>
          <c:val>
            <c:numRef>
              <c:f>ADAM!$R$14:$R$20</c:f>
              <c:numCache>
                <c:formatCode>General</c:formatCode>
                <c:ptCount val="7"/>
                <c:pt idx="0">
                  <c:v>54</c:v>
                </c:pt>
                <c:pt idx="1">
                  <c:v>32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4-4114-B7F0-5AD695D2F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Resultado de encuesta de usabilidad </a:t>
            </a:r>
            <a:r>
              <a:rPr lang="en-US" baseline="0"/>
              <a:t>Equipo "HEPO"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55448683002525E-2"/>
          <c:y val="0.22597750301504502"/>
          <c:w val="0.83085008714669251"/>
          <c:h val="0.57792775980957001"/>
        </c:manualLayout>
      </c:layout>
      <c:pie3DChart>
        <c:varyColors val="1"/>
        <c:ser>
          <c:idx val="0"/>
          <c:order val="0"/>
          <c:tx>
            <c:strRef>
              <c:f>HEPO!$R$10</c:f>
              <c:strCache>
                <c:ptCount val="1"/>
                <c:pt idx="0">
                  <c:v>Totales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E984-46BC-833E-00A1BB087F3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E984-46BC-833E-00A1BB087F3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E984-46BC-833E-00A1BB087F3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E984-46BC-833E-00A1BB087F3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E984-46BC-833E-00A1BB087F3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E984-46BC-833E-00A1BB087F3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E984-46BC-833E-00A1BB087F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HEPO!$A$11:$A$17</c:f>
              <c:strCache>
                <c:ptCount val="7"/>
                <c:pt idx="0">
                  <c:v>Totalmente Satisfecho</c:v>
                </c:pt>
                <c:pt idx="1">
                  <c:v>Satisfecho</c:v>
                </c:pt>
                <c:pt idx="2">
                  <c:v>Un poco Satisfecho</c:v>
                </c:pt>
                <c:pt idx="3">
                  <c:v>Neutral</c:v>
                </c:pt>
                <c:pt idx="4">
                  <c:v>Algo insatisfecho</c:v>
                </c:pt>
                <c:pt idx="5">
                  <c:v>No estoy satisfecho</c:v>
                </c:pt>
                <c:pt idx="6">
                  <c:v>Totalmente Insatisfecho</c:v>
                </c:pt>
              </c:strCache>
            </c:strRef>
          </c:cat>
          <c:val>
            <c:numRef>
              <c:f>HEPO!$R$11:$R$17</c:f>
              <c:numCache>
                <c:formatCode>General</c:formatCode>
                <c:ptCount val="7"/>
                <c:pt idx="0">
                  <c:v>23</c:v>
                </c:pt>
                <c:pt idx="1">
                  <c:v>22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984-46BC-833E-00A1BB087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Resultado de encuesta de usabilidad </a:t>
            </a:r>
            <a:r>
              <a:rPr lang="en-US" baseline="0"/>
              <a:t>Equipo "IKEJAS"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55448683002525E-2"/>
          <c:y val="0.22597750301504502"/>
          <c:w val="0.83085008714669251"/>
          <c:h val="0.57792775980957001"/>
        </c:manualLayout>
      </c:layout>
      <c:pie3DChart>
        <c:varyColors val="1"/>
        <c:ser>
          <c:idx val="0"/>
          <c:order val="0"/>
          <c:tx>
            <c:strRef>
              <c:f>IKEJAS!$R$21</c:f>
              <c:strCache>
                <c:ptCount val="1"/>
                <c:pt idx="0">
                  <c:v>Totales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05B-42F5-9C86-FCA9DA58FAC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05B-42F5-9C86-FCA9DA58FAC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105B-42F5-9C86-FCA9DA58FAC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105B-42F5-9C86-FCA9DA58FAC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105B-42F5-9C86-FCA9DA58FAC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105B-42F5-9C86-FCA9DA58FAC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105B-42F5-9C86-FCA9DA58FA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IKEJAS!$A$22:$A$28</c:f>
              <c:strCache>
                <c:ptCount val="7"/>
                <c:pt idx="0">
                  <c:v>Totalmente Satisfecho</c:v>
                </c:pt>
                <c:pt idx="1">
                  <c:v>Satisfecho</c:v>
                </c:pt>
                <c:pt idx="2">
                  <c:v>Un poco Satisfecho</c:v>
                </c:pt>
                <c:pt idx="3">
                  <c:v>Neutral</c:v>
                </c:pt>
                <c:pt idx="4">
                  <c:v>Algo insatisfecho</c:v>
                </c:pt>
                <c:pt idx="5">
                  <c:v>No estoy satisfecho</c:v>
                </c:pt>
                <c:pt idx="6">
                  <c:v>Totalmente Insatisfecho</c:v>
                </c:pt>
              </c:strCache>
            </c:strRef>
          </c:cat>
          <c:val>
            <c:numRef>
              <c:f>IKEJAS!$R$22:$R$28</c:f>
              <c:numCache>
                <c:formatCode>General</c:formatCode>
                <c:ptCount val="7"/>
                <c:pt idx="0">
                  <c:v>71</c:v>
                </c:pt>
                <c:pt idx="1">
                  <c:v>102</c:v>
                </c:pt>
                <c:pt idx="2">
                  <c:v>28</c:v>
                </c:pt>
                <c:pt idx="3">
                  <c:v>4</c:v>
                </c:pt>
                <c:pt idx="4">
                  <c:v>5</c:v>
                </c:pt>
                <c:pt idx="5">
                  <c:v>12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05B-42F5-9C86-FCA9DA58F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C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Resultados Encuesta de Usabilidad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Hoja2!$B$13</c:f>
              <c:strCache>
                <c:ptCount val="1"/>
                <c:pt idx="0">
                  <c:v>ADAM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Hoja2!$A$14:$A$20</c:f>
              <c:strCache>
                <c:ptCount val="7"/>
                <c:pt idx="0">
                  <c:v>Totalmente Satisfecho</c:v>
                </c:pt>
                <c:pt idx="1">
                  <c:v>Satisfecho</c:v>
                </c:pt>
                <c:pt idx="2">
                  <c:v>Un poco Satisfecho</c:v>
                </c:pt>
                <c:pt idx="3">
                  <c:v>Neutral</c:v>
                </c:pt>
                <c:pt idx="4">
                  <c:v>Algo insatisfecho</c:v>
                </c:pt>
                <c:pt idx="5">
                  <c:v>No estoy satisfecho</c:v>
                </c:pt>
                <c:pt idx="6">
                  <c:v>Totalmente Insatisfecho</c:v>
                </c:pt>
              </c:strCache>
            </c:strRef>
          </c:cat>
          <c:val>
            <c:numRef>
              <c:f>Hoja2!$B$14:$B$20</c:f>
              <c:numCache>
                <c:formatCode>0.00</c:formatCode>
                <c:ptCount val="7"/>
                <c:pt idx="0">
                  <c:v>56.25</c:v>
                </c:pt>
                <c:pt idx="1">
                  <c:v>33.333333333333336</c:v>
                </c:pt>
                <c:pt idx="2">
                  <c:v>5.208333333333333</c:v>
                </c:pt>
                <c:pt idx="3">
                  <c:v>2.0833333333333335</c:v>
                </c:pt>
                <c:pt idx="4">
                  <c:v>3.125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D-469B-B5A0-D7B0C3B4B6FF}"/>
            </c:ext>
          </c:extLst>
        </c:ser>
        <c:ser>
          <c:idx val="1"/>
          <c:order val="1"/>
          <c:tx>
            <c:strRef>
              <c:f>Hoja2!$C$13</c:f>
              <c:strCache>
                <c:ptCount val="1"/>
                <c:pt idx="0">
                  <c:v>HEPO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Hoja2!$A$14:$A$20</c:f>
              <c:strCache>
                <c:ptCount val="7"/>
                <c:pt idx="0">
                  <c:v>Totalmente Satisfecho</c:v>
                </c:pt>
                <c:pt idx="1">
                  <c:v>Satisfecho</c:v>
                </c:pt>
                <c:pt idx="2">
                  <c:v>Un poco Satisfecho</c:v>
                </c:pt>
                <c:pt idx="3">
                  <c:v>Neutral</c:v>
                </c:pt>
                <c:pt idx="4">
                  <c:v>Algo insatisfecho</c:v>
                </c:pt>
                <c:pt idx="5">
                  <c:v>No estoy satisfecho</c:v>
                </c:pt>
                <c:pt idx="6">
                  <c:v>Totalmente Insatisfecho</c:v>
                </c:pt>
              </c:strCache>
            </c:strRef>
          </c:cat>
          <c:val>
            <c:numRef>
              <c:f>Hoja2!$C$14:$C$20</c:f>
              <c:numCache>
                <c:formatCode>0.00</c:formatCode>
                <c:ptCount val="7"/>
                <c:pt idx="0">
                  <c:v>47.916666666666664</c:v>
                </c:pt>
                <c:pt idx="1">
                  <c:v>45.833333333333336</c:v>
                </c:pt>
                <c:pt idx="2">
                  <c:v>2.0833333333333335</c:v>
                </c:pt>
                <c:pt idx="3">
                  <c:v>4.166666666666667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D-469B-B5A0-D7B0C3B4B6FF}"/>
            </c:ext>
          </c:extLst>
        </c:ser>
        <c:ser>
          <c:idx val="2"/>
          <c:order val="2"/>
          <c:tx>
            <c:strRef>
              <c:f>Hoja2!$D$13</c:f>
              <c:strCache>
                <c:ptCount val="1"/>
                <c:pt idx="0">
                  <c:v>IKEJAS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Hoja2!$A$14:$A$20</c:f>
              <c:strCache>
                <c:ptCount val="7"/>
                <c:pt idx="0">
                  <c:v>Totalmente Satisfecho</c:v>
                </c:pt>
                <c:pt idx="1">
                  <c:v>Satisfecho</c:v>
                </c:pt>
                <c:pt idx="2">
                  <c:v>Un poco Satisfecho</c:v>
                </c:pt>
                <c:pt idx="3">
                  <c:v>Neutral</c:v>
                </c:pt>
                <c:pt idx="4">
                  <c:v>Algo insatisfecho</c:v>
                </c:pt>
                <c:pt idx="5">
                  <c:v>No estoy satisfecho</c:v>
                </c:pt>
                <c:pt idx="6">
                  <c:v>Totalmente Insatisfecho</c:v>
                </c:pt>
              </c:strCache>
            </c:strRef>
          </c:cat>
          <c:val>
            <c:numRef>
              <c:f>Hoja2!$D$14:$D$20</c:f>
              <c:numCache>
                <c:formatCode>0.00</c:formatCode>
                <c:ptCount val="7"/>
                <c:pt idx="0">
                  <c:v>31.838565022421523</c:v>
                </c:pt>
                <c:pt idx="1">
                  <c:v>45.739910313901348</c:v>
                </c:pt>
                <c:pt idx="2">
                  <c:v>12.556053811659194</c:v>
                </c:pt>
                <c:pt idx="3">
                  <c:v>1.7937219730941705</c:v>
                </c:pt>
                <c:pt idx="4">
                  <c:v>2.2421524663677128</c:v>
                </c:pt>
                <c:pt idx="5">
                  <c:v>5.3811659192825116</c:v>
                </c:pt>
                <c:pt idx="6">
                  <c:v>0.44843049327354262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4D-469B-B5A0-D7B0C3B4B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13966336"/>
        <c:axId val="1013965088"/>
      </c:barChart>
      <c:catAx>
        <c:axId val="10139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13965088"/>
        <c:crosses val="autoZero"/>
        <c:auto val="1"/>
        <c:lblAlgn val="ctr"/>
        <c:lblOffset val="100"/>
        <c:noMultiLvlLbl val="0"/>
      </c:catAx>
      <c:valAx>
        <c:axId val="10139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01396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13</xdr:row>
      <xdr:rowOff>81915</xdr:rowOff>
    </xdr:from>
    <xdr:to>
      <xdr:col>11</xdr:col>
      <xdr:colOff>954405</xdr:colOff>
      <xdr:row>38</xdr:row>
      <xdr:rowOff>18097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BABB61-07FE-0086-6F6B-21DC2E833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901065</xdr:colOff>
      <xdr:row>14</xdr:row>
      <xdr:rowOff>26670</xdr:rowOff>
    </xdr:from>
    <xdr:to>
      <xdr:col>12</xdr:col>
      <xdr:colOff>30480</xdr:colOff>
      <xdr:row>38</xdr:row>
      <xdr:rowOff>145732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093555-BCAA-4669-856E-3B9738DBE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21</xdr:row>
      <xdr:rowOff>81915</xdr:rowOff>
    </xdr:from>
    <xdr:to>
      <xdr:col>11</xdr:col>
      <xdr:colOff>954405</xdr:colOff>
      <xdr:row>46</xdr:row>
      <xdr:rowOff>18097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E5CE2A-1BC2-476B-B2EE-0ECB0FB11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</xdr:colOff>
      <xdr:row>12</xdr:row>
      <xdr:rowOff>50483</xdr:rowOff>
    </xdr:from>
    <xdr:to>
      <xdr:col>14</xdr:col>
      <xdr:colOff>19050</xdr:colOff>
      <xdr:row>33</xdr:row>
      <xdr:rowOff>9526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9E5B644-DDD2-2A36-4DB1-0C16F6E75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Escala%20de%20Likert%20con%20Tabla%20Din&#225;m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ala de Likert  grafica)"/>
      <sheetName val="Escala de Likert"/>
      <sheetName val="Hoja1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F715DC-7547-4E20-AAB2-FE7AA1F34AB4}" name="Tabla6" displayName="Tabla6" ref="A1:R8" totalsRowCount="1" headerRowDxfId="169" dataDxfId="167" headerRowBorderDxfId="168" tableBorderDxfId="166">
  <autoFilter ref="A1:R7" xr:uid="{EEF715DC-7547-4E20-AAB2-FE7AA1F34AB4}"/>
  <tableColumns count="18">
    <tableColumn id="1" xr3:uid="{D96591D4-8A0F-4286-8B87-AD81E92BFFD9}" name="Encuestados" totalsRowLabel="Total" dataDxfId="165" totalsRowDxfId="164"/>
    <tableColumn id="2" xr3:uid="{AC3ECE82-7F68-4129-934D-F13D89AB8858}" name="Pregunta 1" totalsRowFunction="average" totalsRowDxfId="163"/>
    <tableColumn id="3" xr3:uid="{7FA22A25-57DE-4A16-B5EC-8EA17A87CE6F}" name="Pregunta 2" totalsRowFunction="average" totalsRowDxfId="162"/>
    <tableColumn id="4" xr3:uid="{79CA1EFD-328A-4D9C-91EE-0D1B1B30E43F}" name="Pregunta 3" totalsRowFunction="average" totalsRowDxfId="161"/>
    <tableColumn id="5" xr3:uid="{6529DEA2-B78C-4CEC-A3E4-D5066883FD71}" name="Pregunta 4" totalsRowFunction="average" totalsRowDxfId="160"/>
    <tableColumn id="6" xr3:uid="{DE72F821-69C8-48B6-A6FB-79DF32BBB7A4}" name="Pregunta 5" totalsRowFunction="average" totalsRowDxfId="159"/>
    <tableColumn id="7" xr3:uid="{B3CA5484-5CE5-4442-9F6A-A9CF57087EFD}" name="Pregunta 6" totalsRowFunction="average" totalsRowDxfId="158"/>
    <tableColumn id="8" xr3:uid="{6D0F213F-7D54-4557-97CD-9B4A480F2282}" name="Pregunta 7" totalsRowFunction="average" totalsRowDxfId="157"/>
    <tableColumn id="13" xr3:uid="{6485F8D4-3471-40BB-9437-AAA3F044CF17}" name="Pregunta 8" totalsRowFunction="average" dataDxfId="156" totalsRowDxfId="155"/>
    <tableColumn id="12" xr3:uid="{A1F6DA79-110A-49F5-A5FD-1ED0D3C7D8FF}" name="Pregunta 9" totalsRowFunction="average" dataDxfId="154" totalsRowDxfId="153"/>
    <tableColumn id="11" xr3:uid="{167F62EC-8522-4ECC-A7C4-6069FC2DAC5C}" name="Pregunta 10" totalsRowFunction="average" dataDxfId="152" totalsRowDxfId="151"/>
    <tableColumn id="18" xr3:uid="{169F2CB9-1836-409C-8473-A1E34BBCA2B3}" name="Pregunta 11" totalsRowFunction="average" dataDxfId="150" totalsRowDxfId="149"/>
    <tableColumn id="17" xr3:uid="{C3B5A26F-AF7C-4C59-9579-A48C925DC74F}" name="Pregunta 12" totalsRowFunction="average" dataDxfId="148" totalsRowDxfId="147"/>
    <tableColumn id="16" xr3:uid="{913B03CA-7FCA-4FB6-9C70-5336A34A454F}" name="Pregunta 13" totalsRowFunction="average" dataDxfId="146" totalsRowDxfId="145"/>
    <tableColumn id="15" xr3:uid="{DE69C345-C468-4D52-A645-C05C8ACBDFA0}" name="Pregunta 14" totalsRowFunction="average" dataDxfId="144" totalsRowDxfId="143"/>
    <tableColumn id="14" xr3:uid="{BF71EE6D-C8E4-44D5-9A08-C6D5D8A3F183}" name="Pregunta 15" totalsRowFunction="average" dataDxfId="142" totalsRowDxfId="141"/>
    <tableColumn id="9" xr3:uid="{49A20ABF-565C-4BC1-B8BE-347721841F7B}" name="Pregunta 16" totalsRowFunction="average" totalsRowDxfId="140"/>
    <tableColumn id="10" xr3:uid="{76435E48-0308-413A-86DF-4D7FFB9C8257}" name="Totales" totalsRowFunction="custom" totalsRowDxfId="139">
      <calculatedColumnFormula>SUM(B2:Q2)</calculatedColumnFormula>
      <totalsRowFormula>SUM(R2:R7)</totalsRow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427E81-D206-47A1-A42F-37644B0AD838}" name="Tabla7" displayName="Tabla7" ref="A13:R21" totalsRowCount="1" headerRowDxfId="138" totalsRowDxfId="135" headerRowBorderDxfId="137" tableBorderDxfId="136" totalsRowBorderDxfId="134">
  <autoFilter ref="A13:R20" xr:uid="{5F427E81-D206-47A1-A42F-37644B0AD838}"/>
  <tableColumns count="18">
    <tableColumn id="1" xr3:uid="{A3E1CB2E-7306-4C6F-82F8-8FA1C46368DA}" name="Grado de Satisfacción" totalsRowLabel="Total" totalsRowDxfId="133"/>
    <tableColumn id="2" xr3:uid="{4F2DD3AF-3F86-41FC-8BC4-4F3B5BB4A2FD}" name="Pregunta 1" totalsRowFunction="custom" totalsRowDxfId="132">
      <calculatedColumnFormula>COUNTIF([1]!Tabla6[Pregunta 1],"5")</calculatedColumnFormula>
      <totalsRowFormula>SUM(B14:B20)</totalsRowFormula>
    </tableColumn>
    <tableColumn id="3" xr3:uid="{CC535B6B-A489-4253-92A0-5575F09AD907}" name="Pregunta 2" totalsRowFunction="custom" dataDxfId="131" totalsRowDxfId="130">
      <totalsRowFormula>SUM(C14:C20)</totalsRowFormula>
    </tableColumn>
    <tableColumn id="4" xr3:uid="{7C670280-57EC-4001-A1D1-8A0A7E85A43F}" name="Pregunta 3" totalsRowFunction="custom" totalsRowDxfId="129">
      <totalsRowFormula>SUM(D14:D20)</totalsRowFormula>
    </tableColumn>
    <tableColumn id="5" xr3:uid="{67387E1E-77DF-4A0C-9D96-AA058AE01EF9}" name="Pregunta 4" totalsRowFunction="custom" totalsRowDxfId="128">
      <totalsRowFormula>SUM(E14:E20)</totalsRowFormula>
    </tableColumn>
    <tableColumn id="6" xr3:uid="{811DD284-CA5D-469E-B4C7-8E336CDC4412}" name="Pregunta 5" totalsRowFunction="custom" totalsRowDxfId="127">
      <totalsRowFormula>SUM(F14:F20)</totalsRowFormula>
    </tableColumn>
    <tableColumn id="7" xr3:uid="{E928BBAF-104F-4650-8D9E-666582213708}" name="Pregunta 6" totalsRowFunction="custom" totalsRowDxfId="126">
      <totalsRowFormula>SUM(G14:G20)</totalsRowFormula>
    </tableColumn>
    <tableColumn id="8" xr3:uid="{ED99F43C-109A-4E9C-A549-7878389AADA3}" name="Pregunta 7" totalsRowFunction="custom" totalsRowDxfId="125">
      <totalsRowFormula>SUM(H14:H20)</totalsRowFormula>
    </tableColumn>
    <tableColumn id="9" xr3:uid="{75C67F6D-31CA-45C3-98D2-A012BA713E2E}" name="Pregunta 8" totalsRowFunction="custom" totalsRowDxfId="124">
      <totalsRowFormula>SUM(I14:I20)</totalsRowFormula>
    </tableColumn>
    <tableColumn id="10" xr3:uid="{A5458073-DB46-4A11-93BA-F14E1CDF4B44}" name="Pregunta 9" totalsRowFunction="custom" dataDxfId="123" totalsRowDxfId="122">
      <totalsRowFormula>SUM(J14:J20)</totalsRowFormula>
    </tableColumn>
    <tableColumn id="11" xr3:uid="{CDB750E8-BF93-452F-87C8-2960D07849F0}" name="Pregunta 10" totalsRowFunction="custom" totalsRowDxfId="121">
      <totalsRowFormula>SUM(K14:K20)</totalsRowFormula>
    </tableColumn>
    <tableColumn id="12" xr3:uid="{89AE3C1F-8A0B-4663-943B-ABA2D51EBBAD}" name="Pregunta 11" totalsRowFunction="custom" totalsRowDxfId="120">
      <totalsRowFormula>SUM(L14:L20)</totalsRowFormula>
    </tableColumn>
    <tableColumn id="13" xr3:uid="{3E4800BF-8510-4FFE-977F-F03E37D366E1}" name="Pregunta 12" totalsRowFunction="custom" totalsRowDxfId="119">
      <totalsRowFormula>SUM(M14:M20)</totalsRowFormula>
    </tableColumn>
    <tableColumn id="14" xr3:uid="{54204CA5-4D0B-4AFC-9F03-FD62408198FA}" name="Pregunta 13" totalsRowFunction="custom" totalsRowDxfId="118">
      <totalsRowFormula>SUM(N14:N20)</totalsRowFormula>
    </tableColumn>
    <tableColumn id="15" xr3:uid="{D57586C3-2E4C-4BE5-9045-15EA59FCF29B}" name="Pregunta 14" totalsRowFunction="custom" totalsRowDxfId="117">
      <totalsRowFormula>SUM(O14:O20)</totalsRowFormula>
    </tableColumn>
    <tableColumn id="16" xr3:uid="{5D761858-270D-41CA-96BF-BE582E9999AF}" name="Pregunta 15" totalsRowFunction="custom" totalsRowDxfId="116">
      <totalsRowFormula>SUM(P14:P20)</totalsRowFormula>
    </tableColumn>
    <tableColumn id="17" xr3:uid="{54C299D8-726A-4C40-AA4F-9C58C6485249}" name="Pregunta 16" totalsRowFunction="custom" totalsRowDxfId="115">
      <totalsRowFormula>SUM(Q14:Q20)</totalsRowFormula>
    </tableColumn>
    <tableColumn id="18" xr3:uid="{FF19AC38-EF81-4197-8FFC-27DD7873350B}" name="Totales" totalsRowFunction="custom" totalsRowDxfId="114">
      <calculatedColumnFormula>+SUM(Tabla7[[#This Row],[Pregunta 1]:[Pregunta 16]])</calculatedColumnFormula>
      <totalsRowFormula>SUM(R14:R20)</totalsRow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3A70A5-7049-47EA-A68B-34D98AEE0E2D}" name="Tabla65" displayName="Tabla65" ref="A1:R5" totalsRowCount="1" headerRowDxfId="113" dataDxfId="111" headerRowBorderDxfId="112" tableBorderDxfId="110">
  <autoFilter ref="A1:R4" xr:uid="{EEF715DC-7547-4E20-AAB2-FE7AA1F34AB4}"/>
  <tableColumns count="18">
    <tableColumn id="1" xr3:uid="{81A14886-F48A-4712-B20C-19321AAFC1E5}" name="Encuestados" totalsRowLabel="Total" dataDxfId="109" totalsRowDxfId="108"/>
    <tableColumn id="2" xr3:uid="{20B99982-FEE4-4A6A-99DB-CD0687EC6E8E}" name="Pregunta 1" totalsRowFunction="average" totalsRowDxfId="107"/>
    <tableColumn id="3" xr3:uid="{08F3D956-2CAD-42CF-A0EC-7231C7248D0B}" name="Pregunta 2" totalsRowFunction="average" totalsRowDxfId="106"/>
    <tableColumn id="4" xr3:uid="{3BD22D03-9A76-4E60-84C1-56558B453411}" name="Pregunta 3" totalsRowFunction="average" totalsRowDxfId="105"/>
    <tableColumn id="5" xr3:uid="{DD637DD4-97E3-4554-9507-043E8317BCE0}" name="Pregunta 4" totalsRowFunction="average" totalsRowDxfId="104"/>
    <tableColumn id="6" xr3:uid="{CEC9B669-DFB2-4E1F-A13D-ABBD169FBEC4}" name="Pregunta 5" totalsRowFunction="average" totalsRowDxfId="103"/>
    <tableColumn id="7" xr3:uid="{675E73D7-7B65-4ACC-97EE-9227607E3E5D}" name="Pregunta 6" totalsRowFunction="average" totalsRowDxfId="102"/>
    <tableColumn id="8" xr3:uid="{2A6EFF03-4658-40A9-BA1C-6E3C754BEBD4}" name="Pregunta 7" totalsRowFunction="average" totalsRowDxfId="101"/>
    <tableColumn id="13" xr3:uid="{4F446615-20DC-426C-BEB8-6C09501200AB}" name="Pregunta 8" totalsRowFunction="average" dataDxfId="100" totalsRowDxfId="99"/>
    <tableColumn id="12" xr3:uid="{01B67A97-A3EF-46A7-894A-4AF1108CFBDE}" name="Pregunta 9" totalsRowFunction="average" dataDxfId="98" totalsRowDxfId="97"/>
    <tableColumn id="11" xr3:uid="{1EB671C4-1FCA-4BC3-9ACC-6F9F6EB87ED2}" name="Pregunta 10" totalsRowFunction="average" dataDxfId="96" totalsRowDxfId="95"/>
    <tableColumn id="18" xr3:uid="{D95996A6-71C2-471F-964B-2B3847905605}" name="Pregunta 11" totalsRowFunction="average" dataDxfId="94" totalsRowDxfId="93"/>
    <tableColumn id="17" xr3:uid="{87B3018B-F0E6-4917-99BF-DB0CF3E9F4F4}" name="Pregunta 12" totalsRowFunction="average" dataDxfId="92" totalsRowDxfId="91"/>
    <tableColumn id="16" xr3:uid="{BF1E638F-E73B-4C71-9E83-3AC573053E2A}" name="Pregunta 13" totalsRowFunction="average" dataDxfId="90" totalsRowDxfId="89"/>
    <tableColumn id="15" xr3:uid="{5125CF6D-5F79-4EDF-B2D0-1C332B491A92}" name="Pregunta 14" totalsRowFunction="average" dataDxfId="88" totalsRowDxfId="87"/>
    <tableColumn id="14" xr3:uid="{CD7CF319-4A96-47AF-8063-CC8D69A42E97}" name="Pregunta 15" totalsRowFunction="average" dataDxfId="86" totalsRowDxfId="85"/>
    <tableColumn id="9" xr3:uid="{5A85C085-D600-435F-965D-B3328074912C}" name="Pregunta 16" totalsRowFunction="average" totalsRowDxfId="84"/>
    <tableColumn id="10" xr3:uid="{F474DBBF-3966-4198-A0E6-E553A1BBCBD2}" name="Totales" totalsRowFunction="custom" totalsRowDxfId="83">
      <calculatedColumnFormula>SUM(B2:Q2)</calculatedColumnFormula>
      <totalsRowFormula>SUM(R2:R4)</totalsRow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454B9-7988-4058-B6D5-994715DD7E80}" name="Tabla76" displayName="Tabla76" ref="A10:R18" totalsRowCount="1" headerRowDxfId="82" totalsRowDxfId="79" headerRowBorderDxfId="81" tableBorderDxfId="80" totalsRowBorderDxfId="78">
  <autoFilter ref="A10:R17" xr:uid="{5F427E81-D206-47A1-A42F-37644B0AD838}"/>
  <tableColumns count="18">
    <tableColumn id="1" xr3:uid="{6CAE4CEA-0341-4CE2-AE0D-63492F485E0C}" name="Grado de Satisfacción" totalsRowLabel="Total" totalsRowDxfId="21"/>
    <tableColumn id="2" xr3:uid="{86BD0F0D-997F-4C4D-8015-FD04C74CD452}" name="Pregunta 1" totalsRowFunction="custom" totalsRowDxfId="20">
      <calculatedColumnFormula>COUNTIF([1]!Tabla6[Pregunta 1],"5")</calculatedColumnFormula>
      <totalsRowFormula>SUM(B11:B17)</totalsRowFormula>
    </tableColumn>
    <tableColumn id="3" xr3:uid="{3E5AC762-9073-413C-8029-06702F956B76}" name="Pregunta 2" totalsRowFunction="custom" dataDxfId="19" totalsRowDxfId="18">
      <totalsRowFormula>SUM(C11:C17)</totalsRowFormula>
    </tableColumn>
    <tableColumn id="4" xr3:uid="{F6678DA5-91C3-4F59-9DE7-523A0D61B85F}" name="Pregunta 3" totalsRowFunction="custom" totalsRowDxfId="17">
      <totalsRowFormula>SUM(D11:D17)</totalsRowFormula>
    </tableColumn>
    <tableColumn id="5" xr3:uid="{D605578F-7602-43A8-899D-76F279A5DE06}" name="Pregunta 4" totalsRowFunction="custom" totalsRowDxfId="16">
      <totalsRowFormula>SUM(E11:E17)</totalsRowFormula>
    </tableColumn>
    <tableColumn id="6" xr3:uid="{98D321C8-E868-4600-8DEA-155620E86DA6}" name="Pregunta 5" totalsRowFunction="custom" totalsRowDxfId="15">
      <totalsRowFormula>SUM(F11:F17)</totalsRowFormula>
    </tableColumn>
    <tableColumn id="7" xr3:uid="{AF65488D-E8A7-4FD6-BA80-E311D4367E22}" name="Pregunta 6" totalsRowFunction="custom" totalsRowDxfId="14">
      <totalsRowFormula>SUM(G11:G17)</totalsRowFormula>
    </tableColumn>
    <tableColumn id="8" xr3:uid="{3E27065C-0309-47C4-9A98-E655E6434FA0}" name="Pregunta 7" totalsRowFunction="custom" totalsRowDxfId="13">
      <totalsRowFormula>SUM(H11:H17)</totalsRowFormula>
    </tableColumn>
    <tableColumn id="9" xr3:uid="{675AB191-457A-4252-913A-6C8C3DA2D247}" name="Pregunta 8" totalsRowFunction="custom" totalsRowDxfId="12">
      <totalsRowFormula>SUM(I11:I17)</totalsRowFormula>
    </tableColumn>
    <tableColumn id="10" xr3:uid="{E5EF3761-890D-41CD-9A0A-2EF0B5296D49}" name="Pregunta 9" totalsRowFunction="custom" dataDxfId="11" totalsRowDxfId="10">
      <totalsRowFormula>SUM(J11:J17)</totalsRowFormula>
    </tableColumn>
    <tableColumn id="11" xr3:uid="{3B20619B-F981-4218-ABF9-59DC3A624157}" name="Pregunta 10" totalsRowFunction="custom" totalsRowDxfId="9">
      <totalsRowFormula>SUM(K11:K17)</totalsRowFormula>
    </tableColumn>
    <tableColumn id="12" xr3:uid="{2D40C914-7348-40AB-B4EA-3D5F1FCE2926}" name="Pregunta 11" totalsRowFunction="custom" totalsRowDxfId="8">
      <totalsRowFormula>SUM(L11:L17)</totalsRowFormula>
    </tableColumn>
    <tableColumn id="13" xr3:uid="{D795B50B-7C23-4EB2-8FB5-85A549BD937B}" name="Pregunta 12" totalsRowFunction="custom" totalsRowDxfId="7">
      <totalsRowFormula>SUM(M11:M17)</totalsRowFormula>
    </tableColumn>
    <tableColumn id="14" xr3:uid="{B8473003-6BB6-4E90-8E3D-90B42F897140}" name="Pregunta 13" totalsRowFunction="custom" totalsRowDxfId="6">
      <totalsRowFormula>SUM(N11:N17)</totalsRowFormula>
    </tableColumn>
    <tableColumn id="15" xr3:uid="{7631FFBD-48FE-48C2-B394-59C334950704}" name="Pregunta 14" totalsRowFunction="custom" totalsRowDxfId="5">
      <totalsRowFormula>SUM(O11:O17)</totalsRowFormula>
    </tableColumn>
    <tableColumn id="16" xr3:uid="{5FDB5D58-AC54-4AE1-8CAF-CEE735D47E23}" name="Pregunta 15" totalsRowFunction="custom" totalsRowDxfId="4">
      <totalsRowFormula>SUM(P11:P17)</totalsRowFormula>
    </tableColumn>
    <tableColumn id="17" xr3:uid="{E45DC1A9-AAFB-4188-B488-33759F5C8545}" name="Pregunta 16" totalsRowFunction="custom" totalsRowDxfId="3">
      <totalsRowFormula>SUM(Q11:Q17)</totalsRowFormula>
    </tableColumn>
    <tableColumn id="18" xr3:uid="{BB5D015D-5861-48B9-8954-A86CB5174D64}" name="Totales" totalsRowFunction="custom">
      <calculatedColumnFormula>+SUM(Tabla76[[#This Row],[Pregunta 1]:[Pregunta 16]])</calculatedColumnFormula>
      <totalsRowFormula>SUM(R11:R17)</totalsRowFormula>
    </tableColumn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C1BE56-863B-440F-A19F-F6FC6D0424A2}" name="Tabla67" displayName="Tabla67" ref="A1:R16" totalsRowCount="1" headerRowDxfId="77" dataDxfId="75" headerRowBorderDxfId="76" tableBorderDxfId="74">
  <autoFilter ref="A1:R15" xr:uid="{EEF715DC-7547-4E20-AAB2-FE7AA1F34AB4}"/>
  <tableColumns count="18">
    <tableColumn id="1" xr3:uid="{668C2ED8-F78B-426D-A437-552FF9A63DDE}" name="Encuestados" totalsRowLabel="Total" dataDxfId="73" totalsRowDxfId="72"/>
    <tableColumn id="2" xr3:uid="{19E5D34E-9E12-467F-BBE2-1BE82A82D8F3}" name="Pregunta 1" totalsRowFunction="average" totalsRowDxfId="71"/>
    <tableColumn id="3" xr3:uid="{0BB4511C-0EE8-4689-9FAF-72BC2AB5B33D}" name="Pregunta 2" totalsRowFunction="average" totalsRowDxfId="70"/>
    <tableColumn id="4" xr3:uid="{909F0607-8161-4C1E-8729-9483EDF9EE33}" name="Pregunta 3" totalsRowFunction="average" totalsRowDxfId="69"/>
    <tableColumn id="5" xr3:uid="{79B40849-CE1D-458C-8B9B-10CDEB540307}" name="Pregunta 4" totalsRowFunction="average" totalsRowDxfId="68"/>
    <tableColumn id="6" xr3:uid="{8057FF75-BD4E-4865-B556-F7A5055C5210}" name="Pregunta 5" totalsRowFunction="average" totalsRowDxfId="67"/>
    <tableColumn id="7" xr3:uid="{5980ABD2-61A9-4D82-BDD7-DF0D93369767}" name="Pregunta 6" totalsRowFunction="average" totalsRowDxfId="66"/>
    <tableColumn id="8" xr3:uid="{1AA82BE6-C9BA-48AE-B453-D6740AFB3146}" name="Pregunta 7" totalsRowFunction="average" totalsRowDxfId="65"/>
    <tableColumn id="13" xr3:uid="{D5C8F5E4-6B37-4DD8-AB77-FCB6079E3303}" name="Pregunta 8" totalsRowFunction="average" dataDxfId="64" totalsRowDxfId="63"/>
    <tableColumn id="12" xr3:uid="{DD48F4E8-E1A9-4353-AC98-EB622454CB6C}" name="Pregunta 9" totalsRowFunction="average" dataDxfId="62" totalsRowDxfId="61"/>
    <tableColumn id="11" xr3:uid="{E06C73FA-A404-4815-9B45-7D512F155CDA}" name="Pregunta 10" totalsRowFunction="average" dataDxfId="60" totalsRowDxfId="59"/>
    <tableColumn id="18" xr3:uid="{BC0E0D52-0158-42F1-8DA0-585EE2E2BFC7}" name="Pregunta 11" totalsRowFunction="average" dataDxfId="58" totalsRowDxfId="57"/>
    <tableColumn id="17" xr3:uid="{E540578F-A6B4-4E98-A796-B19B117B58ED}" name="Pregunta 12" totalsRowFunction="average" dataDxfId="56" totalsRowDxfId="55"/>
    <tableColumn id="16" xr3:uid="{73D64A8A-11D4-4AE4-B1BF-CAF69CF1AB68}" name="Pregunta 13" totalsRowFunction="average" dataDxfId="54" totalsRowDxfId="53"/>
    <tableColumn id="15" xr3:uid="{EE127DEE-2EFA-4449-83D7-387783F3FEE4}" name="Pregunta 14" totalsRowFunction="average" dataDxfId="52" totalsRowDxfId="51"/>
    <tableColumn id="14" xr3:uid="{BD1D119F-1318-43C0-A63F-21FA85867051}" name="Pregunta 15" totalsRowFunction="average" dataDxfId="50" totalsRowDxfId="49"/>
    <tableColumn id="9" xr3:uid="{E1F42F67-53DF-49EF-9DDE-6F0831D77F5F}" name="Pregunta 16" totalsRowFunction="average" totalsRowDxfId="48"/>
    <tableColumn id="10" xr3:uid="{6851B57B-5262-49A7-86C5-91BDE6A29746}" name="Totales" totalsRowFunction="custom" totalsRowDxfId="47">
      <calculatedColumnFormula>SUM(B2:Q2)</calculatedColumnFormula>
      <totalsRowFormula>SUM(R2:R15)</totalsRow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BEEC80-9D4F-490B-BC2D-0469B3621277}" name="Tabla78" displayName="Tabla78" ref="A21:R29" totalsRowCount="1" headerRowDxfId="46" totalsRowDxfId="43" headerRowBorderDxfId="45" tableBorderDxfId="44" totalsRowBorderDxfId="42">
  <autoFilter ref="A21:R28" xr:uid="{5F427E81-D206-47A1-A42F-37644B0AD838}"/>
  <tableColumns count="18">
    <tableColumn id="1" xr3:uid="{4DBD3CC5-BC95-4811-BF56-2305648A5012}" name="Grado de Satisfacción" totalsRowLabel="Total" totalsRowDxfId="41"/>
    <tableColumn id="2" xr3:uid="{49BC4E6A-3FF8-42F6-B703-42323A6DAB61}" name="Pregunta 1" totalsRowFunction="custom" totalsRowDxfId="40">
      <calculatedColumnFormula>COUNTIF([1]!Tabla6[Pregunta 1],"5")</calculatedColumnFormula>
      <totalsRowFormula>SUM(B22:B28)</totalsRowFormula>
    </tableColumn>
    <tableColumn id="3" xr3:uid="{7FB7201C-B85E-4B37-8DA7-30FDAD2A1FA3}" name="Pregunta 2" totalsRowFunction="custom" dataDxfId="39" totalsRowDxfId="38">
      <totalsRowFormula>SUM(C22:C28)</totalsRowFormula>
    </tableColumn>
    <tableColumn id="4" xr3:uid="{9A87E85E-70B8-410A-9952-CB5AB815A2EF}" name="Pregunta 3" totalsRowFunction="custom" totalsRowDxfId="37">
      <totalsRowFormula>SUM(D22:D28)</totalsRowFormula>
    </tableColumn>
    <tableColumn id="5" xr3:uid="{77C75CE7-1815-4B0C-A8C8-B5F5C99EFF2B}" name="Pregunta 4" totalsRowFunction="custom" totalsRowDxfId="36">
      <totalsRowFormula>SUM(E22:E28)</totalsRowFormula>
    </tableColumn>
    <tableColumn id="6" xr3:uid="{45688944-CD9C-46E1-975F-5217FC87719D}" name="Pregunta 5" totalsRowFunction="custom" totalsRowDxfId="35">
      <totalsRowFormula>SUM(F22:F28)</totalsRowFormula>
    </tableColumn>
    <tableColumn id="7" xr3:uid="{46EF9236-DFBD-490F-A805-AE07F2DA5064}" name="Pregunta 6" totalsRowFunction="custom" totalsRowDxfId="34">
      <totalsRowFormula>SUM(G22:G28)</totalsRowFormula>
    </tableColumn>
    <tableColumn id="8" xr3:uid="{4FD7CD5E-1700-4489-BC91-464A4BA0EC6C}" name="Pregunta 7" totalsRowFunction="custom" totalsRowDxfId="33">
      <totalsRowFormula>SUM(H22:H28)</totalsRowFormula>
    </tableColumn>
    <tableColumn id="9" xr3:uid="{989576D9-815E-46D3-8E37-66A213BB0272}" name="Pregunta 8" totalsRowFunction="custom" totalsRowDxfId="32">
      <totalsRowFormula>SUM(I22:I28)</totalsRowFormula>
    </tableColumn>
    <tableColumn id="10" xr3:uid="{35FD1B9C-59F7-4836-B731-B48262F19254}" name="Pregunta 9" totalsRowFunction="custom" dataDxfId="31" totalsRowDxfId="30">
      <totalsRowFormula>SUM(J22:J28)</totalsRowFormula>
    </tableColumn>
    <tableColumn id="11" xr3:uid="{47112CBC-8BEF-49D2-A1B8-5D8A2799E2AB}" name="Pregunta 10" totalsRowFunction="custom" totalsRowDxfId="29">
      <totalsRowFormula>SUM(K22:K28)</totalsRowFormula>
    </tableColumn>
    <tableColumn id="12" xr3:uid="{4D83F9CE-C8C0-4CF8-9DCF-2E6F04CB884B}" name="Pregunta 11" totalsRowFunction="custom" totalsRowDxfId="28">
      <totalsRowFormula>SUM(L22:L28)</totalsRowFormula>
    </tableColumn>
    <tableColumn id="13" xr3:uid="{654981FF-ED4F-4686-8239-906E85ECC509}" name="Pregunta 12" totalsRowFunction="custom" totalsRowDxfId="27">
      <totalsRowFormula>SUM(M22:M28)</totalsRowFormula>
    </tableColumn>
    <tableColumn id="14" xr3:uid="{E4ED0DFF-98B2-46D9-BAAA-19C02C59A4E1}" name="Pregunta 13" totalsRowFunction="custom" totalsRowDxfId="26">
      <totalsRowFormula>SUM(N22:N28)</totalsRowFormula>
    </tableColumn>
    <tableColumn id="15" xr3:uid="{EB48BB16-A1E0-4EBA-B22A-3B6A85E64904}" name="Pregunta 14" totalsRowFunction="custom" totalsRowDxfId="25">
      <totalsRowFormula>SUM(O22:O28)</totalsRowFormula>
    </tableColumn>
    <tableColumn id="16" xr3:uid="{3DAED148-6885-4295-998B-8A065AF9D889}" name="Pregunta 15" totalsRowFunction="custom" totalsRowDxfId="24">
      <totalsRowFormula>SUM(P22:P28)</totalsRowFormula>
    </tableColumn>
    <tableColumn id="17" xr3:uid="{AC60DB66-136A-4D06-8899-B9B81B3A1A3C}" name="Pregunta 16" totalsRowFunction="custom" totalsRowDxfId="23">
      <totalsRowFormula>SUM(Q22:Q28)</totalsRowFormula>
    </tableColumn>
    <tableColumn id="18" xr3:uid="{2F785345-E6F5-49EC-8D10-ECB5498E03B8}" name="Totales" totalsRowFunction="custom" totalsRowDxfId="22">
      <calculatedColumnFormula>+SUM(Tabla78[[#This Row],[Pregunta 1]:[Pregunta 16]])</calculatedColumnFormula>
      <totalsRowFormula>SUM(R22:R28)</totalsRow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D594-D3AC-420D-AC1D-6778401986A7}">
  <dimension ref="A1:R21"/>
  <sheetViews>
    <sheetView topLeftCell="C1" workbookViewId="0">
      <selection activeCell="R14" activeCellId="1" sqref="A14:A20 R14:R20"/>
    </sheetView>
  </sheetViews>
  <sheetFormatPr baseColWidth="10" defaultRowHeight="14.4" x14ac:dyDescent="0.3"/>
  <cols>
    <col min="1" max="1" width="24.88671875" bestFit="1" customWidth="1"/>
    <col min="2" max="8" width="15.44140625" bestFit="1" customWidth="1"/>
    <col min="9" max="11" width="16.44140625" bestFit="1" customWidth="1"/>
    <col min="12" max="16" width="16.44140625" customWidth="1"/>
    <col min="17" max="17" width="15.44140625" bestFit="1" customWidth="1"/>
  </cols>
  <sheetData>
    <row r="1" spans="1:18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5" t="s">
        <v>26</v>
      </c>
    </row>
    <row r="2" spans="1:18" x14ac:dyDescent="0.3">
      <c r="A2" s="6">
        <v>1</v>
      </c>
      <c r="B2">
        <v>6</v>
      </c>
      <c r="C2">
        <v>7</v>
      </c>
      <c r="D2">
        <v>5</v>
      </c>
      <c r="E2">
        <v>7</v>
      </c>
      <c r="F2">
        <v>7</v>
      </c>
      <c r="G2">
        <v>6</v>
      </c>
      <c r="H2">
        <v>7</v>
      </c>
      <c r="I2">
        <v>6</v>
      </c>
      <c r="J2">
        <v>7</v>
      </c>
      <c r="K2">
        <v>7</v>
      </c>
      <c r="L2">
        <v>6</v>
      </c>
      <c r="M2">
        <v>7</v>
      </c>
      <c r="N2">
        <v>7</v>
      </c>
      <c r="O2">
        <v>7</v>
      </c>
      <c r="P2">
        <v>7</v>
      </c>
      <c r="Q2">
        <v>7</v>
      </c>
      <c r="R2" s="7">
        <f t="shared" ref="R2:R7" si="0">SUM(B2:Q2)</f>
        <v>106</v>
      </c>
    </row>
    <row r="3" spans="1:18" x14ac:dyDescent="0.3">
      <c r="A3" s="8">
        <v>2</v>
      </c>
      <c r="B3">
        <v>6</v>
      </c>
      <c r="C3">
        <v>6</v>
      </c>
      <c r="D3">
        <v>5</v>
      </c>
      <c r="E3">
        <v>6</v>
      </c>
      <c r="F3">
        <v>6</v>
      </c>
      <c r="G3">
        <v>7</v>
      </c>
      <c r="H3">
        <v>7</v>
      </c>
      <c r="I3">
        <v>6</v>
      </c>
      <c r="J3">
        <v>6</v>
      </c>
      <c r="K3">
        <v>6</v>
      </c>
      <c r="L3">
        <v>7</v>
      </c>
      <c r="M3">
        <v>6</v>
      </c>
      <c r="N3">
        <v>7</v>
      </c>
      <c r="O3">
        <v>6</v>
      </c>
      <c r="P3">
        <v>6</v>
      </c>
      <c r="Q3">
        <v>6</v>
      </c>
      <c r="R3" s="7">
        <f t="shared" si="0"/>
        <v>99</v>
      </c>
    </row>
    <row r="4" spans="1:18" x14ac:dyDescent="0.3">
      <c r="A4" s="8">
        <v>3</v>
      </c>
      <c r="B4">
        <v>6</v>
      </c>
      <c r="C4">
        <v>6</v>
      </c>
      <c r="D4">
        <v>4</v>
      </c>
      <c r="E4">
        <v>7</v>
      </c>
      <c r="F4">
        <v>6</v>
      </c>
      <c r="G4">
        <v>5</v>
      </c>
      <c r="H4">
        <v>4</v>
      </c>
      <c r="I4">
        <v>6</v>
      </c>
      <c r="J4">
        <v>3</v>
      </c>
      <c r="K4">
        <v>6</v>
      </c>
      <c r="L4">
        <v>3</v>
      </c>
      <c r="M4">
        <v>5</v>
      </c>
      <c r="N4">
        <v>7</v>
      </c>
      <c r="O4">
        <v>7</v>
      </c>
      <c r="P4">
        <v>6</v>
      </c>
      <c r="Q4">
        <v>3</v>
      </c>
      <c r="R4" s="7">
        <f t="shared" si="0"/>
        <v>84</v>
      </c>
    </row>
    <row r="5" spans="1:18" x14ac:dyDescent="0.3">
      <c r="A5" s="8">
        <v>4</v>
      </c>
      <c r="B5">
        <v>7</v>
      </c>
      <c r="C5">
        <v>7</v>
      </c>
      <c r="D5">
        <v>7</v>
      </c>
      <c r="E5">
        <v>7</v>
      </c>
      <c r="F5">
        <v>7</v>
      </c>
      <c r="G5">
        <v>6</v>
      </c>
      <c r="H5">
        <v>6</v>
      </c>
      <c r="I5">
        <v>6</v>
      </c>
      <c r="J5">
        <v>7</v>
      </c>
      <c r="K5">
        <v>7</v>
      </c>
      <c r="L5">
        <v>7</v>
      </c>
      <c r="M5">
        <v>6</v>
      </c>
      <c r="N5">
        <v>6</v>
      </c>
      <c r="O5">
        <v>6</v>
      </c>
      <c r="P5">
        <v>6</v>
      </c>
      <c r="Q5">
        <v>6</v>
      </c>
      <c r="R5" s="7">
        <f t="shared" si="0"/>
        <v>104</v>
      </c>
    </row>
    <row r="6" spans="1:18" x14ac:dyDescent="0.3">
      <c r="A6" s="8">
        <v>5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 s="7">
        <f t="shared" si="0"/>
        <v>112</v>
      </c>
    </row>
    <row r="7" spans="1:18" x14ac:dyDescent="0.3">
      <c r="A7" s="8">
        <v>6</v>
      </c>
      <c r="B7">
        <v>6</v>
      </c>
      <c r="C7">
        <v>7</v>
      </c>
      <c r="D7">
        <v>6</v>
      </c>
      <c r="E7">
        <v>7</v>
      </c>
      <c r="F7">
        <v>7</v>
      </c>
      <c r="G7">
        <v>5</v>
      </c>
      <c r="H7">
        <v>7</v>
      </c>
      <c r="I7">
        <v>7</v>
      </c>
      <c r="J7">
        <v>7</v>
      </c>
      <c r="K7">
        <v>6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 s="7">
        <f t="shared" si="0"/>
        <v>107</v>
      </c>
    </row>
    <row r="8" spans="1:18" x14ac:dyDescent="0.3">
      <c r="A8" s="9" t="s">
        <v>10</v>
      </c>
      <c r="B8" s="10">
        <f>SUBTOTAL(101,Tabla6[Pregunta 1])</f>
        <v>6.333333333333333</v>
      </c>
      <c r="C8" s="10">
        <f>SUBTOTAL(101,Tabla6[Pregunta 2])</f>
        <v>6.666666666666667</v>
      </c>
      <c r="D8" s="10">
        <f>SUBTOTAL(101,Tabla6[Pregunta 3])</f>
        <v>5.666666666666667</v>
      </c>
      <c r="E8" s="10">
        <f>SUBTOTAL(101,Tabla6[Pregunta 4])</f>
        <v>6.833333333333333</v>
      </c>
      <c r="F8" s="10">
        <f>SUBTOTAL(101,Tabla6[Pregunta 5])</f>
        <v>6.666666666666667</v>
      </c>
      <c r="G8" s="10">
        <f>SUBTOTAL(101,Tabla6[Pregunta 6])</f>
        <v>6</v>
      </c>
      <c r="H8" s="10">
        <f>SUBTOTAL(101,Tabla6[Pregunta 7])</f>
        <v>6.333333333333333</v>
      </c>
      <c r="I8" s="10">
        <f>SUBTOTAL(101,Tabla6[Pregunta 8])</f>
        <v>6.333333333333333</v>
      </c>
      <c r="J8" s="10">
        <f>SUBTOTAL(101,Tabla6[Pregunta 9])</f>
        <v>6.166666666666667</v>
      </c>
      <c r="K8" s="10">
        <f>SUBTOTAL(101,Tabla6[Pregunta 10])</f>
        <v>6.5</v>
      </c>
      <c r="L8" s="10">
        <f>SUBTOTAL(101,Tabla6[Pregunta 11])</f>
        <v>6.166666666666667</v>
      </c>
      <c r="M8" s="10">
        <f>SUBTOTAL(101,Tabla6[Pregunta 12])</f>
        <v>6.333333333333333</v>
      </c>
      <c r="N8" s="10">
        <f>SUBTOTAL(101,Tabla6[Pregunta 13])</f>
        <v>6.833333333333333</v>
      </c>
      <c r="O8" s="10">
        <f>SUBTOTAL(101,Tabla6[Pregunta 14])</f>
        <v>6.666666666666667</v>
      </c>
      <c r="P8" s="10">
        <f>SUBTOTAL(101,Tabla6[Pregunta 15])</f>
        <v>6.5</v>
      </c>
      <c r="Q8" s="10">
        <f>SUBTOTAL(101,Tabla6[Pregunta 16])</f>
        <v>6</v>
      </c>
      <c r="R8" s="11">
        <f>SUM(R2:R7)</f>
        <v>612</v>
      </c>
    </row>
    <row r="13" spans="1:18" x14ac:dyDescent="0.3">
      <c r="A13" s="12" t="s">
        <v>18</v>
      </c>
      <c r="B13" s="13" t="s">
        <v>1</v>
      </c>
      <c r="C13" s="13" t="s">
        <v>2</v>
      </c>
      <c r="D13" s="13" t="s">
        <v>3</v>
      </c>
      <c r="E13" s="13" t="s">
        <v>4</v>
      </c>
      <c r="F13" s="13" t="s">
        <v>5</v>
      </c>
      <c r="G13" s="13" t="s">
        <v>6</v>
      </c>
      <c r="H13" s="13" t="s">
        <v>7</v>
      </c>
      <c r="I13" s="14" t="s">
        <v>8</v>
      </c>
      <c r="J13" s="13" t="s">
        <v>9</v>
      </c>
      <c r="K13" s="20" t="s">
        <v>11</v>
      </c>
      <c r="L13" s="20" t="s">
        <v>12</v>
      </c>
      <c r="M13" s="20" t="s">
        <v>13</v>
      </c>
      <c r="N13" s="20" t="s">
        <v>14</v>
      </c>
      <c r="O13" s="20" t="s">
        <v>15</v>
      </c>
      <c r="P13" s="20" t="s">
        <v>16</v>
      </c>
      <c r="Q13" s="20" t="s">
        <v>17</v>
      </c>
      <c r="R13" s="13" t="s">
        <v>26</v>
      </c>
    </row>
    <row r="14" spans="1:18" x14ac:dyDescent="0.3">
      <c r="A14" s="15" t="s">
        <v>19</v>
      </c>
      <c r="B14" s="16">
        <f>+COUNTIF(Tabla6[Pregunta 1],"7")</f>
        <v>2</v>
      </c>
      <c r="C14" s="16">
        <f>+COUNTIF(Tabla6[Pregunta 2],"7")</f>
        <v>4</v>
      </c>
      <c r="D14" s="16">
        <f>+COUNTIF(Tabla6[Pregunta 3],"7")</f>
        <v>2</v>
      </c>
      <c r="E14" s="16">
        <f>+COUNTIF(Tabla6[Pregunta 4],"7")</f>
        <v>5</v>
      </c>
      <c r="F14" s="16">
        <f>+COUNTIF(Tabla6[Pregunta 5],"7")</f>
        <v>4</v>
      </c>
      <c r="G14" s="16">
        <f>+COUNTIF(Tabla6[Pregunta 6],"7")</f>
        <v>2</v>
      </c>
      <c r="H14" s="16">
        <f>+COUNTIF(Tabla6[Pregunta 7],"7")</f>
        <v>4</v>
      </c>
      <c r="I14" s="16">
        <f>+COUNTIF(Tabla6[Pregunta 8],"7")</f>
        <v>2</v>
      </c>
      <c r="J14" s="16">
        <f>+COUNTIF(Tabla6[Pregunta 9],"7")</f>
        <v>4</v>
      </c>
      <c r="K14" s="16">
        <f>+COUNTIF(Tabla6[Pregunta 10],"7")</f>
        <v>3</v>
      </c>
      <c r="L14" s="16">
        <f>+COUNTIF(Tabla6[Pregunta 11],"7")</f>
        <v>4</v>
      </c>
      <c r="M14" s="16">
        <f>+COUNTIF(Tabla6[Pregunta 12],"7")</f>
        <v>3</v>
      </c>
      <c r="N14" s="16">
        <f>+COUNTIF(Tabla6[Pregunta 13],"7")</f>
        <v>5</v>
      </c>
      <c r="O14" s="16">
        <f>+COUNTIF(Tabla6[Pregunta 14],"7")</f>
        <v>4</v>
      </c>
      <c r="P14" s="16">
        <f>+COUNTIF(Tabla6[Pregunta 15],"7")</f>
        <v>3</v>
      </c>
      <c r="Q14" s="16">
        <f>+COUNTIF(Tabla6[Pregunta 16],"7")</f>
        <v>3</v>
      </c>
      <c r="R14" s="16">
        <f>+SUM(Tabla7[[#This Row],[Pregunta 1]:[Pregunta 16]])</f>
        <v>54</v>
      </c>
    </row>
    <row r="15" spans="1:18" x14ac:dyDescent="0.3">
      <c r="A15" s="15" t="s">
        <v>20</v>
      </c>
      <c r="B15" s="16">
        <f>+COUNTIF(Tabla6[Pregunta 1],"6")</f>
        <v>4</v>
      </c>
      <c r="C15" s="16">
        <f>+COUNTIF(Tabla6[Pregunta 2],"6")</f>
        <v>2</v>
      </c>
      <c r="D15" s="16">
        <f>+COUNTIF(Tabla6[Pregunta 3],"6")</f>
        <v>1</v>
      </c>
      <c r="E15" s="16">
        <f>+COUNTIF(Tabla6[Pregunta 4],"6")</f>
        <v>1</v>
      </c>
      <c r="F15" s="16">
        <f>+COUNTIF(Tabla6[Pregunta 5],"6")</f>
        <v>2</v>
      </c>
      <c r="G15" s="16">
        <f>+COUNTIF(Tabla6[Pregunta 6],"6")</f>
        <v>2</v>
      </c>
      <c r="H15" s="16">
        <f>+COUNTIF(Tabla6[Pregunta 7],"6")</f>
        <v>1</v>
      </c>
      <c r="I15" s="16">
        <f>+COUNTIF(Tabla6[Pregunta 8],"6")</f>
        <v>4</v>
      </c>
      <c r="J15" s="16">
        <f>+COUNTIF(Tabla6[Pregunta 9],"6")</f>
        <v>1</v>
      </c>
      <c r="K15" s="16">
        <f>+COUNTIF(Tabla6[Pregunta 10],"6")</f>
        <v>3</v>
      </c>
      <c r="L15" s="16">
        <f>+COUNTIF(Tabla6[Pregunta 11],"6")</f>
        <v>1</v>
      </c>
      <c r="M15" s="16">
        <f>+COUNTIF(Tabla6[Pregunta 12],"6")</f>
        <v>2</v>
      </c>
      <c r="N15" s="16">
        <f>+COUNTIF(Tabla6[Pregunta 13],"6")</f>
        <v>1</v>
      </c>
      <c r="O15" s="16">
        <f>+COUNTIF(Tabla6[Pregunta 14],"6")</f>
        <v>2</v>
      </c>
      <c r="P15" s="16">
        <f>+COUNTIF(Tabla6[Pregunta 15],"6")</f>
        <v>3</v>
      </c>
      <c r="Q15" s="16">
        <f>+COUNTIF(Tabla6[Pregunta 16],"6")</f>
        <v>2</v>
      </c>
      <c r="R15" s="16">
        <f>+SUM(Tabla7[[#This Row],[Pregunta 1]:[Pregunta 16]])</f>
        <v>32</v>
      </c>
    </row>
    <row r="16" spans="1:18" x14ac:dyDescent="0.3">
      <c r="A16" s="15" t="s">
        <v>24</v>
      </c>
      <c r="B16" s="16">
        <f>+COUNTIF(Tabla6[Pregunta 1],"5")</f>
        <v>0</v>
      </c>
      <c r="C16" s="16">
        <f>+COUNTIF(Tabla6[Pregunta 2],"5")</f>
        <v>0</v>
      </c>
      <c r="D16" s="16">
        <f>+COUNTIF(Tabla6[Pregunta 3],"5")</f>
        <v>2</v>
      </c>
      <c r="E16" s="16">
        <f>+COUNTIF(Tabla6[Pregunta 4],"5")</f>
        <v>0</v>
      </c>
      <c r="F16" s="16">
        <f>+COUNTIF(Tabla6[Pregunta 5],"5")</f>
        <v>0</v>
      </c>
      <c r="G16" s="16">
        <f>+COUNTIF(Tabla6[Pregunta 6],"5")</f>
        <v>2</v>
      </c>
      <c r="H16" s="16">
        <f>+COUNTIF(Tabla6[Pregunta 7],"5")</f>
        <v>0</v>
      </c>
      <c r="I16" s="16">
        <f>+COUNTIF(Tabla6[Pregunta 8],"5")</f>
        <v>0</v>
      </c>
      <c r="J16" s="16">
        <f>+COUNTIF(Tabla6[Pregunta 9],"5")</f>
        <v>0</v>
      </c>
      <c r="K16" s="16">
        <f>+COUNTIF(Tabla6[Pregunta 10],"5")</f>
        <v>0</v>
      </c>
      <c r="L16" s="16">
        <f>+COUNTIF(Tabla6[Pregunta 11],"5")</f>
        <v>0</v>
      </c>
      <c r="M16" s="16">
        <f>+COUNTIF(Tabla6[Pregunta 12],"5")</f>
        <v>1</v>
      </c>
      <c r="N16" s="16">
        <f>+COUNTIF(Tabla6[Pregunta 13],"5")</f>
        <v>0</v>
      </c>
      <c r="O16" s="16">
        <f>+COUNTIF(Tabla6[Pregunta 14],"5")</f>
        <v>0</v>
      </c>
      <c r="P16" s="16">
        <f>+COUNTIF(Tabla6[Pregunta 15],"5")</f>
        <v>0</v>
      </c>
      <c r="Q16" s="16">
        <f>+COUNTIF(Tabla6[Pregunta 16],"5")</f>
        <v>0</v>
      </c>
      <c r="R16" s="16">
        <f>+SUM(Tabla7[[#This Row],[Pregunta 1]:[Pregunta 16]])</f>
        <v>5</v>
      </c>
    </row>
    <row r="17" spans="1:18" x14ac:dyDescent="0.3">
      <c r="A17" s="15" t="s">
        <v>25</v>
      </c>
      <c r="B17" s="16">
        <f>+COUNTIF(Tabla6[Pregunta 1],"4")</f>
        <v>0</v>
      </c>
      <c r="C17" s="16">
        <f>+COUNTIF(Tabla6[Pregunta 2],"4")</f>
        <v>0</v>
      </c>
      <c r="D17" s="16">
        <f>+COUNTIF(Tabla6[Pregunta 3],"4")</f>
        <v>1</v>
      </c>
      <c r="E17" s="16">
        <f>+COUNTIF(Tabla6[Pregunta 4],"4")</f>
        <v>0</v>
      </c>
      <c r="F17" s="16">
        <f>+COUNTIF(Tabla6[Pregunta 5],"4")</f>
        <v>0</v>
      </c>
      <c r="G17" s="16">
        <f>+COUNTIF(Tabla6[Pregunta 6],"4")</f>
        <v>0</v>
      </c>
      <c r="H17" s="16">
        <f>+COUNTIF(Tabla6[Pregunta 7],"4")</f>
        <v>1</v>
      </c>
      <c r="I17" s="16">
        <f>+COUNTIF(Tabla6[Pregunta 8],"4")</f>
        <v>0</v>
      </c>
      <c r="J17" s="16">
        <f>+COUNTIF(Tabla6[Pregunta 9],"4")</f>
        <v>0</v>
      </c>
      <c r="K17" s="16">
        <f>+COUNTIF(Tabla6[Pregunta 10],"4")</f>
        <v>0</v>
      </c>
      <c r="L17" s="16">
        <f>+COUNTIF(Tabla6[Pregunta 11],"4")</f>
        <v>0</v>
      </c>
      <c r="M17" s="16">
        <f>+COUNTIF(Tabla6[Pregunta 12],"4")</f>
        <v>0</v>
      </c>
      <c r="N17" s="16">
        <f>+COUNTIF(Tabla6[Pregunta 13],"4")</f>
        <v>0</v>
      </c>
      <c r="O17" s="16">
        <f>+COUNTIF(Tabla6[Pregunta 14],"4")</f>
        <v>0</v>
      </c>
      <c r="P17" s="16">
        <f>+COUNTIF(Tabla6[Pregunta 15],"4")</f>
        <v>0</v>
      </c>
      <c r="Q17" s="16">
        <f>+COUNTIF(Tabla6[Pregunta 16],"4")</f>
        <v>0</v>
      </c>
      <c r="R17" s="16">
        <f>+SUM(Tabla7[[#This Row],[Pregunta 1]:[Pregunta 16]])</f>
        <v>2</v>
      </c>
    </row>
    <row r="18" spans="1:18" x14ac:dyDescent="0.3">
      <c r="A18" s="17" t="s">
        <v>22</v>
      </c>
      <c r="B18" s="16">
        <f>+COUNTIF(Tabla6[Pregunta 1],"3")</f>
        <v>0</v>
      </c>
      <c r="C18" s="16">
        <f>+COUNTIF(Tabla6[Pregunta 2],"3")</f>
        <v>0</v>
      </c>
      <c r="D18" s="16">
        <f>+COUNTIF(Tabla6[Pregunta 3],"3")</f>
        <v>0</v>
      </c>
      <c r="E18" s="16">
        <f>+COUNTIF(Tabla6[Pregunta 4],"3")</f>
        <v>0</v>
      </c>
      <c r="F18" s="16">
        <f>+COUNTIF(Tabla6[Pregunta 5],"3")</f>
        <v>0</v>
      </c>
      <c r="G18" s="16">
        <f>+COUNTIF(Tabla6[Pregunta 6],"3")</f>
        <v>0</v>
      </c>
      <c r="H18" s="16">
        <f>+COUNTIF(Tabla6[Pregunta 7],"3")</f>
        <v>0</v>
      </c>
      <c r="I18" s="16">
        <f>+COUNTIF(Tabla6[Pregunta 8],"3")</f>
        <v>0</v>
      </c>
      <c r="J18" s="16">
        <f>+COUNTIF(Tabla6[Pregunta 9],"3")</f>
        <v>1</v>
      </c>
      <c r="K18" s="16">
        <f>+COUNTIF(Tabla6[Pregunta 10],"3")</f>
        <v>0</v>
      </c>
      <c r="L18" s="16">
        <f>+COUNTIF(Tabla6[Pregunta 11],"3")</f>
        <v>1</v>
      </c>
      <c r="M18" s="16">
        <f>+COUNTIF(Tabla6[Pregunta 12],"3")</f>
        <v>0</v>
      </c>
      <c r="N18" s="16">
        <f>+COUNTIF(Tabla6[Pregunta 13],"3")</f>
        <v>0</v>
      </c>
      <c r="O18" s="16">
        <f>+COUNTIF(Tabla6[Pregunta 14],"3")</f>
        <v>0</v>
      </c>
      <c r="P18" s="16">
        <f>+COUNTIF(Tabla6[Pregunta 15],"3")</f>
        <v>0</v>
      </c>
      <c r="Q18" s="16">
        <f>+COUNTIF(Tabla6[Pregunta 16],"3")</f>
        <v>1</v>
      </c>
      <c r="R18" s="16">
        <f>+SUM(Tabla7[[#This Row],[Pregunta 1]:[Pregunta 16]])</f>
        <v>3</v>
      </c>
    </row>
    <row r="19" spans="1:18" x14ac:dyDescent="0.3">
      <c r="A19" s="17" t="s">
        <v>23</v>
      </c>
      <c r="B19" s="16">
        <f>+COUNTIF(Tabla6[Pregunta 1],"2")</f>
        <v>0</v>
      </c>
      <c r="C19" s="16">
        <f>+COUNTIF(Tabla6[Pregunta 2],"2")</f>
        <v>0</v>
      </c>
      <c r="D19" s="16">
        <f>+COUNTIF(Tabla6[Pregunta 3],"2")</f>
        <v>0</v>
      </c>
      <c r="E19" s="16">
        <f>+COUNTIF(Tabla6[Pregunta 4],"2")</f>
        <v>0</v>
      </c>
      <c r="F19" s="16">
        <f>+COUNTIF(Tabla6[Pregunta 5],"2")</f>
        <v>0</v>
      </c>
      <c r="G19" s="16">
        <f>+COUNTIF(Tabla6[Pregunta 6],"2")</f>
        <v>0</v>
      </c>
      <c r="H19" s="16">
        <f>+COUNTIF(Tabla6[Pregunta 7],"2")</f>
        <v>0</v>
      </c>
      <c r="I19" s="16">
        <f>+COUNTIF(Tabla6[Pregunta 8],"2")</f>
        <v>0</v>
      </c>
      <c r="J19" s="16">
        <f>+COUNTIF(Tabla6[Pregunta 9],"2")</f>
        <v>0</v>
      </c>
      <c r="K19" s="16">
        <f>+COUNTIF(Tabla6[Pregunta 10],"2")</f>
        <v>0</v>
      </c>
      <c r="L19" s="16">
        <f>+COUNTIF(Tabla6[Pregunta 11],"2")</f>
        <v>0</v>
      </c>
      <c r="M19" s="16">
        <f>+COUNTIF(Tabla6[Pregunta 12],"2")</f>
        <v>0</v>
      </c>
      <c r="N19" s="16">
        <f>+COUNTIF(Tabla6[Pregunta 13],"2")</f>
        <v>0</v>
      </c>
      <c r="O19" s="16">
        <f>+COUNTIF(Tabla6[Pregunta 14],"2")</f>
        <v>0</v>
      </c>
      <c r="P19" s="16">
        <f>+COUNTIF(Tabla6[Pregunta 15],"2")</f>
        <v>0</v>
      </c>
      <c r="Q19" s="16">
        <f>+COUNTIF(Tabla6[Pregunta 16],"2")</f>
        <v>0</v>
      </c>
      <c r="R19" s="16">
        <f>+SUM(Tabla7[[#This Row],[Pregunta 1]:[Pregunta 16]])</f>
        <v>0</v>
      </c>
    </row>
    <row r="20" spans="1:18" x14ac:dyDescent="0.3">
      <c r="A20" s="17" t="s">
        <v>21</v>
      </c>
      <c r="B20" s="16">
        <f>+COUNTIF(Tabla6[Pregunta 1],"1")</f>
        <v>0</v>
      </c>
      <c r="C20" s="16">
        <f>+COUNTIF(Tabla6[Pregunta 2],"1")</f>
        <v>0</v>
      </c>
      <c r="D20" s="16">
        <f>+COUNTIF(Tabla6[Pregunta 3],"1")</f>
        <v>0</v>
      </c>
      <c r="E20" s="16">
        <f>+COUNTIF(Tabla6[Pregunta 4],"1")</f>
        <v>0</v>
      </c>
      <c r="F20" s="16">
        <f>+COUNTIF(Tabla6[Pregunta 5],"1")</f>
        <v>0</v>
      </c>
      <c r="G20" s="16">
        <f>+COUNTIF(Tabla6[Pregunta 6],"1")</f>
        <v>0</v>
      </c>
      <c r="H20" s="16">
        <f>+COUNTIF(Tabla6[Pregunta 7],"1")</f>
        <v>0</v>
      </c>
      <c r="I20" s="16">
        <f>+COUNTIF(Tabla6[Pregunta 8],"1")</f>
        <v>0</v>
      </c>
      <c r="J20" s="16">
        <f>+COUNTIF(Tabla6[Pregunta 9],"1")</f>
        <v>0</v>
      </c>
      <c r="K20" s="16">
        <f>+COUNTIF(Tabla6[Pregunta 10],"1")</f>
        <v>0</v>
      </c>
      <c r="L20" s="16">
        <f>+COUNTIF(Tabla6[Pregunta 11],"1")</f>
        <v>0</v>
      </c>
      <c r="M20" s="16">
        <f>+COUNTIF(Tabla6[Pregunta 12],"1")</f>
        <v>0</v>
      </c>
      <c r="N20" s="16">
        <f>+COUNTIF(Tabla6[Pregunta 13],"1")</f>
        <v>0</v>
      </c>
      <c r="O20" s="16">
        <f>+COUNTIF(Tabla6[Pregunta 14],"1")</f>
        <v>0</v>
      </c>
      <c r="P20" s="16">
        <f>+COUNTIF(Tabla6[Pregunta 15],"1")</f>
        <v>0</v>
      </c>
      <c r="Q20" s="16">
        <f>+COUNTIF(Tabla6[Pregunta 16],"1")</f>
        <v>0</v>
      </c>
      <c r="R20" s="16">
        <f>+SUM(Tabla7[[#This Row],[Pregunta 1]:[Pregunta 16]])</f>
        <v>0</v>
      </c>
    </row>
    <row r="21" spans="1:18" x14ac:dyDescent="0.3">
      <c r="A21" s="18" t="s">
        <v>10</v>
      </c>
      <c r="B21" s="19">
        <f>SUM(B14:B20)</f>
        <v>6</v>
      </c>
      <c r="C21" s="19">
        <f t="shared" ref="C21:R21" si="1">SUM(C14:C20)</f>
        <v>6</v>
      </c>
      <c r="D21" s="19">
        <f t="shared" si="1"/>
        <v>6</v>
      </c>
      <c r="E21" s="19">
        <f t="shared" si="1"/>
        <v>6</v>
      </c>
      <c r="F21" s="19">
        <f t="shared" si="1"/>
        <v>6</v>
      </c>
      <c r="G21" s="19">
        <f t="shared" si="1"/>
        <v>6</v>
      </c>
      <c r="H21" s="19">
        <f t="shared" si="1"/>
        <v>6</v>
      </c>
      <c r="I21" s="19">
        <f t="shared" si="1"/>
        <v>6</v>
      </c>
      <c r="J21" s="19">
        <f t="shared" si="1"/>
        <v>6</v>
      </c>
      <c r="K21" s="19">
        <f t="shared" si="1"/>
        <v>6</v>
      </c>
      <c r="L21" s="19">
        <f t="shared" si="1"/>
        <v>6</v>
      </c>
      <c r="M21" s="19">
        <f t="shared" si="1"/>
        <v>6</v>
      </c>
      <c r="N21" s="19">
        <f t="shared" si="1"/>
        <v>6</v>
      </c>
      <c r="O21" s="19">
        <f t="shared" si="1"/>
        <v>6</v>
      </c>
      <c r="P21" s="19">
        <f t="shared" si="1"/>
        <v>6</v>
      </c>
      <c r="Q21" s="19">
        <f t="shared" si="1"/>
        <v>6</v>
      </c>
      <c r="R21" s="19">
        <f t="shared" si="1"/>
        <v>96</v>
      </c>
    </row>
  </sheetData>
  <phoneticPr fontId="6" type="noConversion"/>
  <conditionalFormatting sqref="B8:Q8">
    <cfRule type="cellIs" dxfId="2" priority="1" operator="lessThan">
      <formula>3</formula>
    </cfRule>
  </conditionalFormatting>
  <dataValidations count="1">
    <dataValidation type="list" allowBlank="1" showInputMessage="1" showErrorMessage="1" sqref="B2:Q7" xr:uid="{B509B253-BE31-4A7C-B378-4B78AD7EDD47}">
      <formula1>$AB$5:$AB$7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46CF-7FE9-4DE9-A1BE-74F432AF52E1}">
  <dimension ref="A1:R18"/>
  <sheetViews>
    <sheetView topLeftCell="F1" workbookViewId="0">
      <selection activeCell="R11" sqref="R11:R17"/>
    </sheetView>
  </sheetViews>
  <sheetFormatPr baseColWidth="10" defaultRowHeight="14.4" x14ac:dyDescent="0.3"/>
  <cols>
    <col min="1" max="1" width="24.88671875" bestFit="1" customWidth="1"/>
    <col min="2" max="8" width="15.44140625" bestFit="1" customWidth="1"/>
    <col min="9" max="11" width="16.44140625" bestFit="1" customWidth="1"/>
    <col min="12" max="16" width="16.44140625" customWidth="1"/>
    <col min="17" max="17" width="15.44140625" bestFit="1" customWidth="1"/>
  </cols>
  <sheetData>
    <row r="1" spans="1:18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5" t="s">
        <v>26</v>
      </c>
    </row>
    <row r="2" spans="1:18" x14ac:dyDescent="0.3">
      <c r="A2" s="6">
        <v>1</v>
      </c>
      <c r="B2">
        <v>6</v>
      </c>
      <c r="C2">
        <v>7</v>
      </c>
      <c r="D2">
        <v>6</v>
      </c>
      <c r="E2">
        <v>7</v>
      </c>
      <c r="F2">
        <v>7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 s="7">
        <f t="shared" ref="R2:R4" si="0">SUM(B2:Q2)</f>
        <v>99</v>
      </c>
    </row>
    <row r="3" spans="1:18" x14ac:dyDescent="0.3">
      <c r="A3" s="8">
        <v>2</v>
      </c>
      <c r="B3">
        <v>6</v>
      </c>
      <c r="C3">
        <v>6</v>
      </c>
      <c r="D3">
        <v>4</v>
      </c>
      <c r="E3">
        <v>6</v>
      </c>
      <c r="F3">
        <v>6</v>
      </c>
      <c r="G3">
        <v>6</v>
      </c>
      <c r="H3">
        <v>7</v>
      </c>
      <c r="I3">
        <v>7</v>
      </c>
      <c r="J3">
        <v>7</v>
      </c>
      <c r="K3">
        <v>7</v>
      </c>
      <c r="L3">
        <v>6</v>
      </c>
      <c r="M3">
        <v>5</v>
      </c>
      <c r="N3">
        <v>4</v>
      </c>
      <c r="O3">
        <v>6</v>
      </c>
      <c r="P3">
        <v>7</v>
      </c>
      <c r="Q3">
        <v>7</v>
      </c>
      <c r="R3" s="7">
        <f t="shared" si="0"/>
        <v>97</v>
      </c>
    </row>
    <row r="4" spans="1:18" x14ac:dyDescent="0.3">
      <c r="A4" s="8">
        <v>3</v>
      </c>
      <c r="B4">
        <v>7</v>
      </c>
      <c r="C4">
        <v>7</v>
      </c>
      <c r="D4">
        <v>7</v>
      </c>
      <c r="E4">
        <v>7</v>
      </c>
      <c r="F4">
        <v>7</v>
      </c>
      <c r="G4">
        <v>6</v>
      </c>
      <c r="H4">
        <v>7</v>
      </c>
      <c r="I4">
        <v>7</v>
      </c>
      <c r="J4">
        <v>6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 s="7">
        <f t="shared" si="0"/>
        <v>110</v>
      </c>
    </row>
    <row r="5" spans="1:18" x14ac:dyDescent="0.3">
      <c r="A5" s="9" t="s">
        <v>10</v>
      </c>
      <c r="B5" s="10">
        <f>SUBTOTAL(101,Tabla65[Pregunta 1])</f>
        <v>6.333333333333333</v>
      </c>
      <c r="C5" s="10">
        <f>SUBTOTAL(101,Tabla65[Pregunta 2])</f>
        <v>6.666666666666667</v>
      </c>
      <c r="D5" s="10">
        <f>SUBTOTAL(101,Tabla65[Pregunta 3])</f>
        <v>5.666666666666667</v>
      </c>
      <c r="E5" s="10">
        <f>SUBTOTAL(101,Tabla65[Pregunta 4])</f>
        <v>6.666666666666667</v>
      </c>
      <c r="F5" s="10">
        <f>SUBTOTAL(101,Tabla65[Pregunta 5])</f>
        <v>6.666666666666667</v>
      </c>
      <c r="G5" s="10">
        <f>SUBTOTAL(101,Tabla65[Pregunta 6])</f>
        <v>6</v>
      </c>
      <c r="H5" s="10">
        <f>SUBTOTAL(101,Tabla65[Pregunta 7])</f>
        <v>6.666666666666667</v>
      </c>
      <c r="I5" s="10">
        <f>SUBTOTAL(101,Tabla65[Pregunta 8])</f>
        <v>6.666666666666667</v>
      </c>
      <c r="J5" s="10">
        <f>SUBTOTAL(101,Tabla65[Pregunta 9])</f>
        <v>6.333333333333333</v>
      </c>
      <c r="K5" s="10">
        <f>SUBTOTAL(101,Tabla65[Pregunta 10])</f>
        <v>6.666666666666667</v>
      </c>
      <c r="L5" s="10">
        <f>SUBTOTAL(101,Tabla65[Pregunta 11])</f>
        <v>6.333333333333333</v>
      </c>
      <c r="M5" s="10">
        <f>SUBTOTAL(101,Tabla65[Pregunta 12])</f>
        <v>6</v>
      </c>
      <c r="N5" s="10">
        <f>SUBTOTAL(101,Tabla65[Pregunta 13])</f>
        <v>5.666666666666667</v>
      </c>
      <c r="O5" s="10">
        <f>SUBTOTAL(101,Tabla65[Pregunta 14])</f>
        <v>6.333333333333333</v>
      </c>
      <c r="P5" s="10">
        <f>SUBTOTAL(101,Tabla65[Pregunta 15])</f>
        <v>6.666666666666667</v>
      </c>
      <c r="Q5" s="10">
        <f>SUBTOTAL(101,Tabla65[Pregunta 16])</f>
        <v>6.666666666666667</v>
      </c>
      <c r="R5" s="11">
        <f>SUM(R2:R4)</f>
        <v>306</v>
      </c>
    </row>
    <row r="10" spans="1:18" x14ac:dyDescent="0.3">
      <c r="A10" s="12" t="s">
        <v>18</v>
      </c>
      <c r="B10" s="13" t="s">
        <v>1</v>
      </c>
      <c r="C10" s="13" t="s">
        <v>2</v>
      </c>
      <c r="D10" s="13" t="s">
        <v>3</v>
      </c>
      <c r="E10" s="13" t="s">
        <v>4</v>
      </c>
      <c r="F10" s="13" t="s">
        <v>5</v>
      </c>
      <c r="G10" s="13" t="s">
        <v>6</v>
      </c>
      <c r="H10" s="13" t="s">
        <v>7</v>
      </c>
      <c r="I10" s="14" t="s">
        <v>8</v>
      </c>
      <c r="J10" s="13" t="s">
        <v>9</v>
      </c>
      <c r="K10" s="20" t="s">
        <v>11</v>
      </c>
      <c r="L10" s="20" t="s">
        <v>12</v>
      </c>
      <c r="M10" s="20" t="s">
        <v>13</v>
      </c>
      <c r="N10" s="20" t="s">
        <v>14</v>
      </c>
      <c r="O10" s="20" t="s">
        <v>15</v>
      </c>
      <c r="P10" s="20" t="s">
        <v>16</v>
      </c>
      <c r="Q10" s="20" t="s">
        <v>17</v>
      </c>
      <c r="R10" s="13" t="s">
        <v>26</v>
      </c>
    </row>
    <row r="11" spans="1:18" x14ac:dyDescent="0.3">
      <c r="A11" s="15" t="s">
        <v>19</v>
      </c>
      <c r="B11" s="16">
        <f>+COUNTIF(Tabla65[Pregunta 1],"7")</f>
        <v>1</v>
      </c>
      <c r="C11" s="16">
        <f>+COUNTIF(Tabla65[Pregunta 2],"7")</f>
        <v>2</v>
      </c>
      <c r="D11" s="16">
        <f>+COUNTIF(Tabla65[Pregunta 3],"7")</f>
        <v>1</v>
      </c>
      <c r="E11" s="16">
        <f>+COUNTIF(Tabla65[Pregunta 4],"7")</f>
        <v>2</v>
      </c>
      <c r="F11" s="16">
        <f>+COUNTIF(Tabla65[Pregunta 5],"7")</f>
        <v>2</v>
      </c>
      <c r="G11" s="16">
        <f>+COUNTIF(Tabla65[Pregunta 6],"7")</f>
        <v>0</v>
      </c>
      <c r="H11" s="16">
        <f>+COUNTIF(Tabla65[Pregunta 7],"7")</f>
        <v>2</v>
      </c>
      <c r="I11" s="16">
        <f>+COUNTIF(Tabla65[Pregunta 8],"7")</f>
        <v>2</v>
      </c>
      <c r="J11" s="16">
        <f>+COUNTIF(Tabla65[Pregunta 9],"7")</f>
        <v>1</v>
      </c>
      <c r="K11" s="16">
        <f>+COUNTIF(Tabla65[Pregunta 10],"7")</f>
        <v>2</v>
      </c>
      <c r="L11" s="16">
        <f>+COUNTIF(Tabla65[Pregunta 11],"7")</f>
        <v>1</v>
      </c>
      <c r="M11" s="16">
        <f>+COUNTIF(Tabla65[Pregunta 12],"7")</f>
        <v>1</v>
      </c>
      <c r="N11" s="16">
        <f>+COUNTIF(Tabla65[Pregunta 13],"7")</f>
        <v>1</v>
      </c>
      <c r="O11" s="16">
        <f>+COUNTIF(Tabla65[Pregunta 14],"7")</f>
        <v>1</v>
      </c>
      <c r="P11" s="16">
        <f>+COUNTIF(Tabla65[Pregunta 15],"7")</f>
        <v>2</v>
      </c>
      <c r="Q11" s="16">
        <f>+COUNTIF(Tabla65[Pregunta 16],"7")</f>
        <v>2</v>
      </c>
      <c r="R11" s="16">
        <f>+SUM(Tabla76[[#This Row],[Pregunta 1]:[Pregunta 16]])</f>
        <v>23</v>
      </c>
    </row>
    <row r="12" spans="1:18" x14ac:dyDescent="0.3">
      <c r="A12" s="15" t="s">
        <v>20</v>
      </c>
      <c r="B12" s="16">
        <f>+COUNTIF(Tabla65[Pregunta 1],"6")</f>
        <v>2</v>
      </c>
      <c r="C12" s="16">
        <f>+COUNTIF(Tabla65[Pregunta 2],"6")</f>
        <v>1</v>
      </c>
      <c r="D12" s="16">
        <f>+COUNTIF(Tabla65[Pregunta 3],"6")</f>
        <v>1</v>
      </c>
      <c r="E12" s="16">
        <f>+COUNTIF(Tabla65[Pregunta 4],"6")</f>
        <v>1</v>
      </c>
      <c r="F12" s="16">
        <f>+COUNTIF(Tabla65[Pregunta 5],"6")</f>
        <v>1</v>
      </c>
      <c r="G12" s="16">
        <f>+COUNTIF(Tabla65[Pregunta 6],"6")</f>
        <v>3</v>
      </c>
      <c r="H12" s="16">
        <f>+COUNTIF(Tabla65[Pregunta 7],"6")</f>
        <v>1</v>
      </c>
      <c r="I12" s="16">
        <f>+COUNTIF(Tabla65[Pregunta 8],"6")</f>
        <v>1</v>
      </c>
      <c r="J12" s="16">
        <f>+COUNTIF(Tabla65[Pregunta 9],"6")</f>
        <v>2</v>
      </c>
      <c r="K12" s="16">
        <f>+COUNTIF(Tabla65[Pregunta 10],"6")</f>
        <v>1</v>
      </c>
      <c r="L12" s="16">
        <f>+COUNTIF(Tabla65[Pregunta 11],"6")</f>
        <v>2</v>
      </c>
      <c r="M12" s="16">
        <f>+COUNTIF(Tabla65[Pregunta 12],"6")</f>
        <v>1</v>
      </c>
      <c r="N12" s="16">
        <f>+COUNTIF(Tabla65[Pregunta 13],"6")</f>
        <v>1</v>
      </c>
      <c r="O12" s="16">
        <f>+COUNTIF(Tabla65[Pregunta 14],"6")</f>
        <v>2</v>
      </c>
      <c r="P12" s="16">
        <f>+COUNTIF(Tabla65[Pregunta 15],"6")</f>
        <v>1</v>
      </c>
      <c r="Q12" s="16">
        <f>+COUNTIF(Tabla65[Pregunta 16],"6")</f>
        <v>1</v>
      </c>
      <c r="R12" s="16">
        <f>+SUM(Tabla76[[#This Row],[Pregunta 1]:[Pregunta 16]])</f>
        <v>22</v>
      </c>
    </row>
    <row r="13" spans="1:18" x14ac:dyDescent="0.3">
      <c r="A13" s="15" t="s">
        <v>24</v>
      </c>
      <c r="B13" s="16">
        <f>+COUNTIF(Tabla65[Pregunta 1],"5")</f>
        <v>0</v>
      </c>
      <c r="C13" s="16">
        <f>+COUNTIF(Tabla65[Pregunta 2],"5")</f>
        <v>0</v>
      </c>
      <c r="D13" s="16">
        <f>+COUNTIF(Tabla65[Pregunta 3],"5")</f>
        <v>0</v>
      </c>
      <c r="E13" s="16">
        <f>+COUNTIF(Tabla65[Pregunta 4],"5")</f>
        <v>0</v>
      </c>
      <c r="F13" s="16">
        <f>+COUNTIF(Tabla65[Pregunta 5],"5")</f>
        <v>0</v>
      </c>
      <c r="G13" s="16">
        <f>+COUNTIF(Tabla65[Pregunta 6],"5")</f>
        <v>0</v>
      </c>
      <c r="H13" s="16">
        <f>+COUNTIF(Tabla65[Pregunta 7],"5")</f>
        <v>0</v>
      </c>
      <c r="I13" s="16">
        <f>+COUNTIF(Tabla65[Pregunta 8],"5")</f>
        <v>0</v>
      </c>
      <c r="J13" s="16">
        <f>+COUNTIF(Tabla65[Pregunta 9],"5")</f>
        <v>0</v>
      </c>
      <c r="K13" s="16">
        <f>+COUNTIF(Tabla65[Pregunta 10],"5")</f>
        <v>0</v>
      </c>
      <c r="L13" s="16">
        <f>+COUNTIF(Tabla65[Pregunta 11],"5")</f>
        <v>0</v>
      </c>
      <c r="M13" s="16">
        <f>+COUNTIF(Tabla65[Pregunta 12],"5")</f>
        <v>1</v>
      </c>
      <c r="N13" s="16">
        <f>+COUNTIF(Tabla65[Pregunta 13],"5")</f>
        <v>0</v>
      </c>
      <c r="O13" s="16">
        <f>+COUNTIF(Tabla65[Pregunta 14],"5")</f>
        <v>0</v>
      </c>
      <c r="P13" s="16">
        <f>+COUNTIF(Tabla65[Pregunta 15],"5")</f>
        <v>0</v>
      </c>
      <c r="Q13" s="16">
        <f>+COUNTIF(Tabla65[Pregunta 16],"5")</f>
        <v>0</v>
      </c>
      <c r="R13" s="16">
        <f>+SUM(Tabla76[[#This Row],[Pregunta 1]:[Pregunta 16]])</f>
        <v>1</v>
      </c>
    </row>
    <row r="14" spans="1:18" x14ac:dyDescent="0.3">
      <c r="A14" s="15" t="s">
        <v>25</v>
      </c>
      <c r="B14" s="16">
        <f>+COUNTIF(Tabla65[Pregunta 1],"4")</f>
        <v>0</v>
      </c>
      <c r="C14" s="16">
        <f>+COUNTIF(Tabla65[Pregunta 2],"4")</f>
        <v>0</v>
      </c>
      <c r="D14" s="16">
        <f>+COUNTIF(Tabla65[Pregunta 3],"4")</f>
        <v>1</v>
      </c>
      <c r="E14" s="16">
        <f>+COUNTIF(Tabla65[Pregunta 4],"4")</f>
        <v>0</v>
      </c>
      <c r="F14" s="16">
        <f>+COUNTIF(Tabla65[Pregunta 5],"4")</f>
        <v>0</v>
      </c>
      <c r="G14" s="16">
        <f>+COUNTIF(Tabla65[Pregunta 6],"4")</f>
        <v>0</v>
      </c>
      <c r="H14" s="16">
        <f>+COUNTIF(Tabla65[Pregunta 7],"4")</f>
        <v>0</v>
      </c>
      <c r="I14" s="16">
        <f>+COUNTIF(Tabla65[Pregunta 8],"4")</f>
        <v>0</v>
      </c>
      <c r="J14" s="16">
        <f>+COUNTIF(Tabla65[Pregunta 9],"4")</f>
        <v>0</v>
      </c>
      <c r="K14" s="16">
        <f>+COUNTIF(Tabla65[Pregunta 10],"4")</f>
        <v>0</v>
      </c>
      <c r="L14" s="16">
        <f>+COUNTIF(Tabla65[Pregunta 11],"4")</f>
        <v>0</v>
      </c>
      <c r="M14" s="16">
        <f>+COUNTIF(Tabla65[Pregunta 12],"4")</f>
        <v>0</v>
      </c>
      <c r="N14" s="16">
        <f>+COUNTIF(Tabla65[Pregunta 13],"4")</f>
        <v>1</v>
      </c>
      <c r="O14" s="16">
        <f>+COUNTIF(Tabla65[Pregunta 14],"4")</f>
        <v>0</v>
      </c>
      <c r="P14" s="16">
        <f>+COUNTIF(Tabla65[Pregunta 15],"4")</f>
        <v>0</v>
      </c>
      <c r="Q14" s="16">
        <f>+COUNTIF(Tabla65[Pregunta 16],"4")</f>
        <v>0</v>
      </c>
      <c r="R14" s="16">
        <f>+SUM(Tabla76[[#This Row],[Pregunta 1]:[Pregunta 16]])</f>
        <v>2</v>
      </c>
    </row>
    <row r="15" spans="1:18" x14ac:dyDescent="0.3">
      <c r="A15" s="17" t="s">
        <v>22</v>
      </c>
      <c r="B15" s="16">
        <f>+COUNTIF(Tabla65[Pregunta 1],"3")</f>
        <v>0</v>
      </c>
      <c r="C15" s="16">
        <f>+COUNTIF(Tabla65[Pregunta 2],"3")</f>
        <v>0</v>
      </c>
      <c r="D15" s="16">
        <f>+COUNTIF(Tabla65[Pregunta 3],"3")</f>
        <v>0</v>
      </c>
      <c r="E15" s="16">
        <f>+COUNTIF(Tabla65[Pregunta 4],"3")</f>
        <v>0</v>
      </c>
      <c r="F15" s="16">
        <f>+COUNTIF(Tabla65[Pregunta 5],"3")</f>
        <v>0</v>
      </c>
      <c r="G15" s="16">
        <f>+COUNTIF(Tabla65[Pregunta 6],"3")</f>
        <v>0</v>
      </c>
      <c r="H15" s="16">
        <f>+COUNTIF(Tabla65[Pregunta 7],"3")</f>
        <v>0</v>
      </c>
      <c r="I15" s="16">
        <f>+COUNTIF(Tabla65[Pregunta 8],"3")</f>
        <v>0</v>
      </c>
      <c r="J15" s="16">
        <f>+COUNTIF(Tabla65[Pregunta 9],"3")</f>
        <v>0</v>
      </c>
      <c r="K15" s="16">
        <f>+COUNTIF(Tabla65[Pregunta 10],"3")</f>
        <v>0</v>
      </c>
      <c r="L15" s="16">
        <f>+COUNTIF(Tabla65[Pregunta 11],"3")</f>
        <v>0</v>
      </c>
      <c r="M15" s="16">
        <f>+COUNTIF(Tabla65[Pregunta 12],"3")</f>
        <v>0</v>
      </c>
      <c r="N15" s="16">
        <f>+COUNTIF(Tabla65[Pregunta 13],"3")</f>
        <v>0</v>
      </c>
      <c r="O15" s="16">
        <f>+COUNTIF(Tabla65[Pregunta 14],"3")</f>
        <v>0</v>
      </c>
      <c r="P15" s="16">
        <f>+COUNTIF(Tabla65[Pregunta 15],"3")</f>
        <v>0</v>
      </c>
      <c r="Q15" s="16">
        <f>+COUNTIF(Tabla65[Pregunta 16],"3")</f>
        <v>0</v>
      </c>
      <c r="R15" s="16">
        <f>+SUM(Tabla76[[#This Row],[Pregunta 1]:[Pregunta 16]])</f>
        <v>0</v>
      </c>
    </row>
    <row r="16" spans="1:18" x14ac:dyDescent="0.3">
      <c r="A16" s="17" t="s">
        <v>23</v>
      </c>
      <c r="B16" s="16">
        <f>+COUNTIF(Tabla65[Pregunta 1],"2")</f>
        <v>0</v>
      </c>
      <c r="C16" s="16">
        <f>+COUNTIF(Tabla65[Pregunta 2],"2")</f>
        <v>0</v>
      </c>
      <c r="D16" s="16">
        <f>+COUNTIF(Tabla65[Pregunta 3],"2")</f>
        <v>0</v>
      </c>
      <c r="E16" s="16">
        <f>+COUNTIF(Tabla65[Pregunta 4],"2")</f>
        <v>0</v>
      </c>
      <c r="F16" s="16">
        <f>+COUNTIF(Tabla65[Pregunta 5],"2")</f>
        <v>0</v>
      </c>
      <c r="G16" s="16">
        <f>+COUNTIF(Tabla65[Pregunta 6],"2")</f>
        <v>0</v>
      </c>
      <c r="H16" s="16">
        <f>+COUNTIF(Tabla65[Pregunta 7],"2")</f>
        <v>0</v>
      </c>
      <c r="I16" s="16">
        <f>+COUNTIF(Tabla65[Pregunta 8],"2")</f>
        <v>0</v>
      </c>
      <c r="J16" s="16">
        <f>+COUNTIF(Tabla65[Pregunta 9],"2")</f>
        <v>0</v>
      </c>
      <c r="K16" s="16">
        <f>+COUNTIF(Tabla65[Pregunta 10],"2")</f>
        <v>0</v>
      </c>
      <c r="L16" s="16">
        <f>+COUNTIF(Tabla65[Pregunta 11],"2")</f>
        <v>0</v>
      </c>
      <c r="M16" s="16">
        <f>+COUNTIF(Tabla65[Pregunta 12],"2")</f>
        <v>0</v>
      </c>
      <c r="N16" s="16">
        <f>+COUNTIF(Tabla65[Pregunta 13],"2")</f>
        <v>0</v>
      </c>
      <c r="O16" s="16">
        <f>+COUNTIF(Tabla65[Pregunta 14],"2")</f>
        <v>0</v>
      </c>
      <c r="P16" s="16">
        <f>+COUNTIF(Tabla65[Pregunta 15],"2")</f>
        <v>0</v>
      </c>
      <c r="Q16" s="16">
        <f>+COUNTIF(Tabla65[Pregunta 16],"2")</f>
        <v>0</v>
      </c>
      <c r="R16" s="16">
        <f>+SUM(Tabla76[[#This Row],[Pregunta 1]:[Pregunta 16]])</f>
        <v>0</v>
      </c>
    </row>
    <row r="17" spans="1:18" x14ac:dyDescent="0.3">
      <c r="A17" s="17" t="s">
        <v>21</v>
      </c>
      <c r="B17" s="16">
        <f>+COUNTIF(Tabla65[Pregunta 1],"1")</f>
        <v>0</v>
      </c>
      <c r="C17" s="16">
        <f>+COUNTIF(Tabla65[Pregunta 2],"1")</f>
        <v>0</v>
      </c>
      <c r="D17" s="16">
        <f>+COUNTIF(Tabla65[Pregunta 3],"1")</f>
        <v>0</v>
      </c>
      <c r="E17" s="16">
        <f>+COUNTIF(Tabla65[Pregunta 4],"1")</f>
        <v>0</v>
      </c>
      <c r="F17" s="16">
        <f>+COUNTIF(Tabla65[Pregunta 5],"1")</f>
        <v>0</v>
      </c>
      <c r="G17" s="16">
        <f>+COUNTIF(Tabla65[Pregunta 6],"1")</f>
        <v>0</v>
      </c>
      <c r="H17" s="16">
        <f>+COUNTIF(Tabla65[Pregunta 7],"1")</f>
        <v>0</v>
      </c>
      <c r="I17" s="16">
        <f>+COUNTIF(Tabla65[Pregunta 8],"1")</f>
        <v>0</v>
      </c>
      <c r="J17" s="16">
        <f>+COUNTIF(Tabla65[Pregunta 9],"1")</f>
        <v>0</v>
      </c>
      <c r="K17" s="16">
        <f>+COUNTIF(Tabla65[Pregunta 10],"1")</f>
        <v>0</v>
      </c>
      <c r="L17" s="16">
        <f>+COUNTIF(Tabla65[Pregunta 11],"1")</f>
        <v>0</v>
      </c>
      <c r="M17" s="16">
        <f>+COUNTIF(Tabla65[Pregunta 12],"1")</f>
        <v>0</v>
      </c>
      <c r="N17" s="16">
        <f>+COUNTIF(Tabla65[Pregunta 13],"1")</f>
        <v>0</v>
      </c>
      <c r="O17" s="16">
        <f>+COUNTIF(Tabla65[Pregunta 14],"1")</f>
        <v>0</v>
      </c>
      <c r="P17" s="16">
        <f>+COUNTIF(Tabla65[Pregunta 15],"1")</f>
        <v>0</v>
      </c>
      <c r="Q17" s="16">
        <f>+COUNTIF(Tabla65[Pregunta 16],"1")</f>
        <v>0</v>
      </c>
      <c r="R17" s="16">
        <f>+SUM(Tabla76[[#This Row],[Pregunta 1]:[Pregunta 16]])</f>
        <v>0</v>
      </c>
    </row>
    <row r="18" spans="1:18" x14ac:dyDescent="0.3">
      <c r="A18" s="18" t="s">
        <v>10</v>
      </c>
      <c r="B18" s="19">
        <f>SUM(B11:B17)</f>
        <v>3</v>
      </c>
      <c r="C18" s="19">
        <f t="shared" ref="C18:R18" si="1">SUM(C11:C17)</f>
        <v>3</v>
      </c>
      <c r="D18" s="19">
        <f t="shared" si="1"/>
        <v>3</v>
      </c>
      <c r="E18" s="19">
        <f t="shared" si="1"/>
        <v>3</v>
      </c>
      <c r="F18" s="19">
        <f t="shared" si="1"/>
        <v>3</v>
      </c>
      <c r="G18" s="19">
        <f t="shared" si="1"/>
        <v>3</v>
      </c>
      <c r="H18" s="19">
        <f t="shared" si="1"/>
        <v>3</v>
      </c>
      <c r="I18" s="19">
        <f t="shared" si="1"/>
        <v>3</v>
      </c>
      <c r="J18" s="19">
        <f t="shared" si="1"/>
        <v>3</v>
      </c>
      <c r="K18" s="19">
        <f t="shared" si="1"/>
        <v>3</v>
      </c>
      <c r="L18" s="19">
        <f t="shared" si="1"/>
        <v>3</v>
      </c>
      <c r="M18" s="19">
        <f t="shared" si="1"/>
        <v>3</v>
      </c>
      <c r="N18" s="19">
        <f t="shared" si="1"/>
        <v>3</v>
      </c>
      <c r="O18" s="19">
        <f t="shared" si="1"/>
        <v>3</v>
      </c>
      <c r="P18" s="19">
        <f t="shared" si="1"/>
        <v>3</v>
      </c>
      <c r="Q18" s="19">
        <f t="shared" si="1"/>
        <v>3</v>
      </c>
      <c r="R18" s="19">
        <f t="shared" si="1"/>
        <v>48</v>
      </c>
    </row>
  </sheetData>
  <conditionalFormatting sqref="B5:Q5">
    <cfRule type="cellIs" dxfId="1" priority="1" operator="lessThan">
      <formula>3</formula>
    </cfRule>
  </conditionalFormatting>
  <dataValidations count="1">
    <dataValidation type="list" allowBlank="1" showInputMessage="1" showErrorMessage="1" sqref="B2:Q4" xr:uid="{494E2BC2-F897-49F6-B015-A7AAFFC57586}">
      <formula1>#REF!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BFA1-93A8-42D2-8EE7-EEF6847ACABA}">
  <dimension ref="A1:R29"/>
  <sheetViews>
    <sheetView topLeftCell="F4" workbookViewId="0">
      <selection activeCell="R22" sqref="R22"/>
    </sheetView>
  </sheetViews>
  <sheetFormatPr baseColWidth="10" defaultRowHeight="14.4" x14ac:dyDescent="0.3"/>
  <cols>
    <col min="1" max="1" width="24.88671875" bestFit="1" customWidth="1"/>
    <col min="2" max="8" width="15.44140625" bestFit="1" customWidth="1"/>
    <col min="9" max="11" width="16.44140625" bestFit="1" customWidth="1"/>
    <col min="12" max="16" width="16.44140625" customWidth="1"/>
    <col min="17" max="17" width="15.44140625" bestFit="1" customWidth="1"/>
  </cols>
  <sheetData>
    <row r="1" spans="1:18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5" t="s">
        <v>26</v>
      </c>
    </row>
    <row r="2" spans="1:18" x14ac:dyDescent="0.3">
      <c r="A2" s="6">
        <v>1</v>
      </c>
      <c r="B2">
        <v>7</v>
      </c>
      <c r="C2">
        <v>7</v>
      </c>
      <c r="D2">
        <v>7</v>
      </c>
      <c r="E2">
        <v>6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6</v>
      </c>
      <c r="O2">
        <v>6</v>
      </c>
      <c r="P2">
        <v>6</v>
      </c>
      <c r="Q2">
        <v>6</v>
      </c>
      <c r="R2" s="7">
        <f t="shared" ref="R2:R15" si="0">SUM(B2:Q2)</f>
        <v>107</v>
      </c>
    </row>
    <row r="3" spans="1:18" x14ac:dyDescent="0.3">
      <c r="A3" s="8">
        <v>2</v>
      </c>
      <c r="B3">
        <v>7</v>
      </c>
      <c r="C3">
        <v>7</v>
      </c>
      <c r="D3">
        <v>7</v>
      </c>
      <c r="E3">
        <v>5</v>
      </c>
      <c r="F3">
        <v>7</v>
      </c>
      <c r="G3">
        <v>7</v>
      </c>
      <c r="H3">
        <v>6</v>
      </c>
      <c r="I3">
        <v>7</v>
      </c>
      <c r="J3">
        <v>7</v>
      </c>
      <c r="K3">
        <v>6</v>
      </c>
      <c r="L3">
        <v>5</v>
      </c>
      <c r="M3">
        <v>6</v>
      </c>
      <c r="N3">
        <v>6</v>
      </c>
      <c r="O3">
        <v>5</v>
      </c>
      <c r="P3">
        <v>3</v>
      </c>
      <c r="Q3">
        <v>5</v>
      </c>
      <c r="R3" s="7">
        <f t="shared" si="0"/>
        <v>96</v>
      </c>
    </row>
    <row r="4" spans="1:18" x14ac:dyDescent="0.3">
      <c r="A4" s="8">
        <v>3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4</v>
      </c>
      <c r="K4">
        <v>5</v>
      </c>
      <c r="L4">
        <v>6</v>
      </c>
      <c r="M4">
        <v>6</v>
      </c>
      <c r="N4">
        <v>5</v>
      </c>
      <c r="O4">
        <v>6</v>
      </c>
      <c r="P4">
        <v>5</v>
      </c>
      <c r="Q4">
        <v>6</v>
      </c>
      <c r="R4" s="7">
        <f t="shared" si="0"/>
        <v>91</v>
      </c>
    </row>
    <row r="5" spans="1:18" ht="15" thickBot="1" x14ac:dyDescent="0.35">
      <c r="A5" s="8">
        <v>4</v>
      </c>
      <c r="B5">
        <v>5</v>
      </c>
      <c r="C5">
        <v>5</v>
      </c>
      <c r="D5">
        <v>2</v>
      </c>
      <c r="E5">
        <v>5</v>
      </c>
      <c r="F5">
        <v>6</v>
      </c>
      <c r="G5">
        <v>5</v>
      </c>
      <c r="H5">
        <v>2</v>
      </c>
      <c r="I5">
        <v>6</v>
      </c>
      <c r="J5">
        <v>2</v>
      </c>
      <c r="K5">
        <v>4</v>
      </c>
      <c r="L5">
        <v>5</v>
      </c>
      <c r="M5">
        <v>6</v>
      </c>
      <c r="N5">
        <v>5</v>
      </c>
      <c r="O5">
        <v>5</v>
      </c>
      <c r="P5">
        <v>4</v>
      </c>
      <c r="Q5">
        <v>4</v>
      </c>
      <c r="R5" s="7">
        <f t="shared" si="0"/>
        <v>71</v>
      </c>
    </row>
    <row r="6" spans="1:18" x14ac:dyDescent="0.3">
      <c r="A6" s="6">
        <v>5</v>
      </c>
      <c r="B6">
        <v>7</v>
      </c>
      <c r="C6">
        <v>6</v>
      </c>
      <c r="D6">
        <v>6</v>
      </c>
      <c r="E6">
        <v>7</v>
      </c>
      <c r="F6">
        <v>6</v>
      </c>
      <c r="G6">
        <v>6</v>
      </c>
      <c r="H6">
        <v>5</v>
      </c>
      <c r="I6">
        <v>6</v>
      </c>
      <c r="J6">
        <v>7</v>
      </c>
      <c r="K6">
        <v>6</v>
      </c>
      <c r="L6">
        <v>6</v>
      </c>
      <c r="M6">
        <v>7</v>
      </c>
      <c r="N6">
        <v>7</v>
      </c>
      <c r="O6">
        <v>7</v>
      </c>
      <c r="P6">
        <v>6</v>
      </c>
      <c r="Q6">
        <v>6</v>
      </c>
      <c r="R6" s="7">
        <f t="shared" si="0"/>
        <v>101</v>
      </c>
    </row>
    <row r="7" spans="1:18" x14ac:dyDescent="0.3">
      <c r="A7" s="8">
        <v>6</v>
      </c>
      <c r="B7">
        <v>2</v>
      </c>
      <c r="C7">
        <v>2</v>
      </c>
      <c r="D7">
        <v>3</v>
      </c>
      <c r="E7">
        <v>2</v>
      </c>
      <c r="F7">
        <v>3</v>
      </c>
      <c r="G7">
        <v>5</v>
      </c>
      <c r="H7">
        <v>2</v>
      </c>
      <c r="I7">
        <v>0</v>
      </c>
      <c r="J7">
        <v>2</v>
      </c>
      <c r="K7">
        <v>2</v>
      </c>
      <c r="L7">
        <v>3</v>
      </c>
      <c r="M7">
        <v>2</v>
      </c>
      <c r="N7">
        <v>1</v>
      </c>
      <c r="O7">
        <v>2</v>
      </c>
      <c r="P7">
        <v>2</v>
      </c>
      <c r="Q7">
        <v>3</v>
      </c>
      <c r="R7" s="7">
        <f t="shared" ref="R7:R14" si="1">SUM(B7:Q7)</f>
        <v>36</v>
      </c>
    </row>
    <row r="8" spans="1:18" x14ac:dyDescent="0.3">
      <c r="A8" s="8">
        <v>7</v>
      </c>
      <c r="B8">
        <v>6</v>
      </c>
      <c r="C8">
        <v>7</v>
      </c>
      <c r="D8">
        <v>5</v>
      </c>
      <c r="E8">
        <v>6</v>
      </c>
      <c r="F8">
        <v>6</v>
      </c>
      <c r="G8">
        <v>7</v>
      </c>
      <c r="H8">
        <v>5</v>
      </c>
      <c r="I8">
        <v>6</v>
      </c>
      <c r="J8">
        <v>6</v>
      </c>
      <c r="K8">
        <v>7</v>
      </c>
      <c r="L8">
        <v>6</v>
      </c>
      <c r="M8">
        <v>5</v>
      </c>
      <c r="N8">
        <v>7</v>
      </c>
      <c r="O8">
        <v>6</v>
      </c>
      <c r="P8">
        <v>6</v>
      </c>
      <c r="Q8">
        <v>7</v>
      </c>
      <c r="R8" s="7">
        <f t="shared" si="1"/>
        <v>98</v>
      </c>
    </row>
    <row r="9" spans="1:18" ht="15" thickBot="1" x14ac:dyDescent="0.35">
      <c r="A9" s="8">
        <v>8</v>
      </c>
      <c r="B9">
        <v>7</v>
      </c>
      <c r="C9">
        <v>7</v>
      </c>
      <c r="D9">
        <v>6</v>
      </c>
      <c r="E9">
        <v>7</v>
      </c>
      <c r="F9">
        <v>6</v>
      </c>
      <c r="G9">
        <v>7</v>
      </c>
      <c r="H9">
        <v>5</v>
      </c>
      <c r="I9">
        <v>5</v>
      </c>
      <c r="J9">
        <v>7</v>
      </c>
      <c r="K9">
        <v>5</v>
      </c>
      <c r="L9">
        <v>6</v>
      </c>
      <c r="M9">
        <v>6</v>
      </c>
      <c r="N9">
        <v>7</v>
      </c>
      <c r="O9">
        <v>6</v>
      </c>
      <c r="P9">
        <v>6</v>
      </c>
      <c r="Q9">
        <v>6</v>
      </c>
      <c r="R9" s="7">
        <f t="shared" si="1"/>
        <v>99</v>
      </c>
    </row>
    <row r="10" spans="1:18" x14ac:dyDescent="0.3">
      <c r="A10" s="6">
        <v>9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 s="7">
        <f t="shared" si="1"/>
        <v>96</v>
      </c>
    </row>
    <row r="11" spans="1:18" x14ac:dyDescent="0.3">
      <c r="A11" s="8">
        <v>10</v>
      </c>
      <c r="B11">
        <v>7</v>
      </c>
      <c r="C11">
        <v>7</v>
      </c>
      <c r="D11">
        <v>6</v>
      </c>
      <c r="E11">
        <v>6</v>
      </c>
      <c r="F11">
        <v>7</v>
      </c>
      <c r="G11">
        <v>6</v>
      </c>
      <c r="H11">
        <v>5</v>
      </c>
      <c r="I11">
        <v>6</v>
      </c>
      <c r="J11">
        <v>6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7</v>
      </c>
      <c r="R11" s="7">
        <f t="shared" si="1"/>
        <v>100</v>
      </c>
    </row>
    <row r="12" spans="1:18" x14ac:dyDescent="0.3">
      <c r="A12" s="8">
        <v>11</v>
      </c>
      <c r="B12">
        <v>6</v>
      </c>
      <c r="C12">
        <v>6</v>
      </c>
      <c r="D12">
        <v>6</v>
      </c>
      <c r="E12">
        <v>6</v>
      </c>
      <c r="F12">
        <v>6</v>
      </c>
      <c r="G12">
        <v>7</v>
      </c>
      <c r="H12">
        <v>5</v>
      </c>
      <c r="I12">
        <v>5</v>
      </c>
      <c r="J12">
        <v>6</v>
      </c>
      <c r="K12">
        <v>6</v>
      </c>
      <c r="L12">
        <v>6</v>
      </c>
      <c r="M12">
        <v>6</v>
      </c>
      <c r="N12">
        <v>7</v>
      </c>
      <c r="O12">
        <v>6</v>
      </c>
      <c r="P12">
        <v>5</v>
      </c>
      <c r="Q12">
        <v>6</v>
      </c>
      <c r="R12" s="7">
        <f t="shared" si="1"/>
        <v>95</v>
      </c>
    </row>
    <row r="13" spans="1:18" ht="15" thickBot="1" x14ac:dyDescent="0.35">
      <c r="A13" s="8">
        <v>12</v>
      </c>
      <c r="B13">
        <v>7</v>
      </c>
      <c r="C13">
        <v>7</v>
      </c>
      <c r="D13">
        <v>7</v>
      </c>
      <c r="E13">
        <v>6</v>
      </c>
      <c r="F13">
        <v>6</v>
      </c>
      <c r="G13">
        <v>7</v>
      </c>
      <c r="H13">
        <v>6</v>
      </c>
      <c r="I13">
        <v>7</v>
      </c>
      <c r="J13">
        <v>6</v>
      </c>
      <c r="K13">
        <v>6</v>
      </c>
      <c r="L13">
        <v>7</v>
      </c>
      <c r="M13">
        <v>7</v>
      </c>
      <c r="N13">
        <v>7</v>
      </c>
      <c r="O13">
        <v>7</v>
      </c>
      <c r="P13">
        <v>7</v>
      </c>
      <c r="Q13">
        <v>7</v>
      </c>
      <c r="R13" s="7">
        <f t="shared" si="1"/>
        <v>107</v>
      </c>
    </row>
    <row r="14" spans="1:18" x14ac:dyDescent="0.3">
      <c r="A14" s="6">
        <v>13</v>
      </c>
      <c r="B14">
        <v>6</v>
      </c>
      <c r="C14">
        <v>7</v>
      </c>
      <c r="D14">
        <v>6</v>
      </c>
      <c r="E14">
        <v>7</v>
      </c>
      <c r="F14">
        <v>6</v>
      </c>
      <c r="G14">
        <v>7</v>
      </c>
      <c r="H14">
        <v>6</v>
      </c>
      <c r="I14">
        <v>6</v>
      </c>
      <c r="J14">
        <v>7</v>
      </c>
      <c r="K14">
        <v>7</v>
      </c>
      <c r="L14">
        <v>7</v>
      </c>
      <c r="M14">
        <v>6</v>
      </c>
      <c r="N14">
        <v>7</v>
      </c>
      <c r="O14">
        <v>6</v>
      </c>
      <c r="P14">
        <v>7</v>
      </c>
      <c r="Q14">
        <v>7</v>
      </c>
      <c r="R14" s="7">
        <f t="shared" si="1"/>
        <v>105</v>
      </c>
    </row>
    <row r="15" spans="1:18" x14ac:dyDescent="0.3">
      <c r="A15" s="8">
        <v>14</v>
      </c>
      <c r="B15">
        <v>5</v>
      </c>
      <c r="C15">
        <v>6</v>
      </c>
      <c r="D15">
        <v>7</v>
      </c>
      <c r="E15">
        <v>6</v>
      </c>
      <c r="F15">
        <v>7</v>
      </c>
      <c r="G15">
        <v>7</v>
      </c>
      <c r="H15">
        <v>5</v>
      </c>
      <c r="I15">
        <v>7</v>
      </c>
      <c r="J15">
        <v>7</v>
      </c>
      <c r="K15">
        <v>6</v>
      </c>
      <c r="L15">
        <v>6</v>
      </c>
      <c r="M15">
        <v>7</v>
      </c>
      <c r="N15">
        <v>6</v>
      </c>
      <c r="O15">
        <v>7</v>
      </c>
      <c r="P15">
        <v>7</v>
      </c>
      <c r="Q15">
        <v>7</v>
      </c>
      <c r="R15" s="7">
        <f t="shared" si="0"/>
        <v>103</v>
      </c>
    </row>
    <row r="16" spans="1:18" x14ac:dyDescent="0.3">
      <c r="A16" s="9" t="s">
        <v>10</v>
      </c>
      <c r="B16" s="10">
        <f>SUBTOTAL(101,Tabla67[Pregunta 1])</f>
        <v>6</v>
      </c>
      <c r="C16" s="10">
        <f>SUBTOTAL(101,Tabla67[Pregunta 2])</f>
        <v>6.1428571428571432</v>
      </c>
      <c r="D16" s="10">
        <f>SUBTOTAL(101,Tabla67[Pregunta 3])</f>
        <v>5.7142857142857144</v>
      </c>
      <c r="E16" s="10">
        <f>SUBTOTAL(101,Tabla67[Pregunta 4])</f>
        <v>5.7857142857142856</v>
      </c>
      <c r="F16" s="10">
        <f>SUBTOTAL(101,Tabla67[Pregunta 5])</f>
        <v>6.0714285714285712</v>
      </c>
      <c r="G16" s="10">
        <f>SUBTOTAL(101,Tabla67[Pregunta 6])</f>
        <v>6.4285714285714288</v>
      </c>
      <c r="H16" s="10">
        <f>SUBTOTAL(101,Tabla67[Pregunta 7])</f>
        <v>5.0714285714285712</v>
      </c>
      <c r="I16" s="10">
        <f>SUBTOTAL(101,Tabla67[Pregunta 8])</f>
        <v>5.7142857142857144</v>
      </c>
      <c r="J16" s="10">
        <f>SUBTOTAL(101,Tabla67[Pregunta 9])</f>
        <v>5.7142857142857144</v>
      </c>
      <c r="K16" s="10">
        <f>SUBTOTAL(101,Tabla67[Pregunta 10])</f>
        <v>5.7142857142857144</v>
      </c>
      <c r="L16" s="10">
        <f>SUBTOTAL(101,Tabla67[Pregunta 11])</f>
        <v>5.8571428571428568</v>
      </c>
      <c r="M16" s="10">
        <f>SUBTOTAL(101,Tabla67[Pregunta 12])</f>
        <v>5.9285714285714288</v>
      </c>
      <c r="N16" s="10">
        <f>SUBTOTAL(101,Tabla67[Pregunta 13])</f>
        <v>5.9285714285714288</v>
      </c>
      <c r="O16" s="10">
        <f>SUBTOTAL(101,Tabla67[Pregunta 14])</f>
        <v>5.7857142857142856</v>
      </c>
      <c r="P16" s="10">
        <f>SUBTOTAL(101,Tabla67[Pregunta 15])</f>
        <v>5.4285714285714288</v>
      </c>
      <c r="Q16" s="10">
        <f>SUBTOTAL(101,Tabla67[Pregunta 16])</f>
        <v>5.9285714285714288</v>
      </c>
      <c r="R16" s="11">
        <f>SUM(R2:R15)</f>
        <v>1305</v>
      </c>
    </row>
    <row r="21" spans="1:18" x14ac:dyDescent="0.3">
      <c r="A21" s="12" t="s">
        <v>18</v>
      </c>
      <c r="B21" s="13" t="s">
        <v>1</v>
      </c>
      <c r="C21" s="13" t="s">
        <v>2</v>
      </c>
      <c r="D21" s="13" t="s">
        <v>3</v>
      </c>
      <c r="E21" s="13" t="s">
        <v>4</v>
      </c>
      <c r="F21" s="13" t="s">
        <v>5</v>
      </c>
      <c r="G21" s="13" t="s">
        <v>6</v>
      </c>
      <c r="H21" s="13" t="s">
        <v>7</v>
      </c>
      <c r="I21" s="14" t="s">
        <v>8</v>
      </c>
      <c r="J21" s="13" t="s">
        <v>9</v>
      </c>
      <c r="K21" s="20" t="s">
        <v>11</v>
      </c>
      <c r="L21" s="20" t="s">
        <v>12</v>
      </c>
      <c r="M21" s="20" t="s">
        <v>13</v>
      </c>
      <c r="N21" s="20" t="s">
        <v>14</v>
      </c>
      <c r="O21" s="20" t="s">
        <v>15</v>
      </c>
      <c r="P21" s="20" t="s">
        <v>16</v>
      </c>
      <c r="Q21" s="20" t="s">
        <v>17</v>
      </c>
      <c r="R21" s="13" t="s">
        <v>26</v>
      </c>
    </row>
    <row r="22" spans="1:18" x14ac:dyDescent="0.3">
      <c r="A22" s="15" t="s">
        <v>19</v>
      </c>
      <c r="B22" s="16">
        <f>+COUNTIF(Tabla67[Pregunta 1],"7")</f>
        <v>6</v>
      </c>
      <c r="C22" s="16">
        <f>+COUNTIF(Tabla67[Pregunta 2],"7")</f>
        <v>7</v>
      </c>
      <c r="D22" s="16">
        <f>+COUNTIF(Tabla67[Pregunta 3],"7")</f>
        <v>4</v>
      </c>
      <c r="E22" s="16">
        <f>+COUNTIF(Tabla67[Pregunta 4],"7")</f>
        <v>3</v>
      </c>
      <c r="F22" s="16">
        <f>+COUNTIF(Tabla67[Pregunta 5],"7")</f>
        <v>4</v>
      </c>
      <c r="G22" s="16">
        <f>+COUNTIF(Tabla67[Pregunta 6],"7")</f>
        <v>8</v>
      </c>
      <c r="H22" s="16">
        <f>+COUNTIF(Tabla67[Pregunta 7],"7")</f>
        <v>1</v>
      </c>
      <c r="I22" s="16">
        <f>+COUNTIF(Tabla67[Pregunta 8],"7")</f>
        <v>4</v>
      </c>
      <c r="J22" s="16">
        <f>+COUNTIF(Tabla67[Pregunta 9],"7")</f>
        <v>6</v>
      </c>
      <c r="K22" s="16">
        <f>+COUNTIF(Tabla67[Pregunta 10],"7")</f>
        <v>4</v>
      </c>
      <c r="L22" s="16">
        <f>+COUNTIF(Tabla67[Pregunta 11],"7")</f>
        <v>3</v>
      </c>
      <c r="M22" s="16">
        <f>+COUNTIF(Tabla67[Pregunta 12],"7")</f>
        <v>4</v>
      </c>
      <c r="N22" s="16">
        <f>+COUNTIF(Tabla67[Pregunta 13],"7")</f>
        <v>6</v>
      </c>
      <c r="O22" s="16">
        <f>+COUNTIF(Tabla67[Pregunta 14],"7")</f>
        <v>3</v>
      </c>
      <c r="P22" s="16">
        <f>+COUNTIF(Tabla67[Pregunta 15],"7")</f>
        <v>3</v>
      </c>
      <c r="Q22" s="16">
        <f>+COUNTIF(Tabla67[Pregunta 16],"7")</f>
        <v>5</v>
      </c>
      <c r="R22" s="16">
        <f>+SUM(Tabla78[[#This Row],[Pregunta 1]:[Pregunta 16]])</f>
        <v>71</v>
      </c>
    </row>
    <row r="23" spans="1:18" x14ac:dyDescent="0.3">
      <c r="A23" s="15" t="s">
        <v>20</v>
      </c>
      <c r="B23" s="16">
        <f>+COUNTIF(Tabla67[Pregunta 1],"6")</f>
        <v>5</v>
      </c>
      <c r="C23" s="16">
        <f>+COUNTIF(Tabla67[Pregunta 2],"6")</f>
        <v>5</v>
      </c>
      <c r="D23" s="16">
        <f>+COUNTIF(Tabla67[Pregunta 3],"6")</f>
        <v>7</v>
      </c>
      <c r="E23" s="16">
        <f>+COUNTIF(Tabla67[Pregunta 4],"6")</f>
        <v>8</v>
      </c>
      <c r="F23" s="16">
        <f>+COUNTIF(Tabla67[Pregunta 5],"6")</f>
        <v>9</v>
      </c>
      <c r="G23" s="16">
        <f>+COUNTIF(Tabla67[Pregunta 6],"6")</f>
        <v>4</v>
      </c>
      <c r="H23" s="16">
        <f>+COUNTIF(Tabla67[Pregunta 7],"6")</f>
        <v>5</v>
      </c>
      <c r="I23" s="16">
        <f>+COUNTIF(Tabla67[Pregunta 8],"6")</f>
        <v>7</v>
      </c>
      <c r="J23" s="16">
        <f>+COUNTIF(Tabla67[Pregunta 9],"6")</f>
        <v>5</v>
      </c>
      <c r="K23" s="16">
        <f>+COUNTIF(Tabla67[Pregunta 10],"6")</f>
        <v>6</v>
      </c>
      <c r="L23" s="16">
        <f>+COUNTIF(Tabla67[Pregunta 11],"6")</f>
        <v>8</v>
      </c>
      <c r="M23" s="16">
        <f>+COUNTIF(Tabla67[Pregunta 12],"6")</f>
        <v>8</v>
      </c>
      <c r="N23" s="16">
        <f>+COUNTIF(Tabla67[Pregunta 13],"6")</f>
        <v>5</v>
      </c>
      <c r="O23" s="16">
        <f>+COUNTIF(Tabla67[Pregunta 14],"6")</f>
        <v>8</v>
      </c>
      <c r="P23" s="16">
        <f>+COUNTIF(Tabla67[Pregunta 15],"6")</f>
        <v>6</v>
      </c>
      <c r="Q23" s="16">
        <f>+COUNTIF(Tabla67[Pregunta 16],"6")</f>
        <v>6</v>
      </c>
      <c r="R23" s="16">
        <f>+SUM(Tabla78[[#This Row],[Pregunta 1]:[Pregunta 16]])</f>
        <v>102</v>
      </c>
    </row>
    <row r="24" spans="1:18" x14ac:dyDescent="0.3">
      <c r="A24" s="15" t="s">
        <v>24</v>
      </c>
      <c r="B24" s="16">
        <f>+COUNTIF(Tabla67[Pregunta 1],"5")</f>
        <v>2</v>
      </c>
      <c r="C24" s="16">
        <f>+COUNTIF(Tabla67[Pregunta 2],"5")</f>
        <v>1</v>
      </c>
      <c r="D24" s="16">
        <f>+COUNTIF(Tabla67[Pregunta 3],"5")</f>
        <v>1</v>
      </c>
      <c r="E24" s="16">
        <f>+COUNTIF(Tabla67[Pregunta 4],"5")</f>
        <v>2</v>
      </c>
      <c r="F24" s="16">
        <f>+COUNTIF(Tabla67[Pregunta 5],"5")</f>
        <v>0</v>
      </c>
      <c r="G24" s="16">
        <f>+COUNTIF(Tabla67[Pregunta 6],"5")</f>
        <v>2</v>
      </c>
      <c r="H24" s="16">
        <f>+COUNTIF(Tabla67[Pregunta 7],"5")</f>
        <v>6</v>
      </c>
      <c r="I24" s="16">
        <f>+COUNTIF(Tabla67[Pregunta 8],"5")</f>
        <v>2</v>
      </c>
      <c r="J24" s="16">
        <f>+COUNTIF(Tabla67[Pregunta 9],"5")</f>
        <v>0</v>
      </c>
      <c r="K24" s="16">
        <f>+COUNTIF(Tabla67[Pregunta 10],"5")</f>
        <v>2</v>
      </c>
      <c r="L24" s="16">
        <f>+COUNTIF(Tabla67[Pregunta 11],"5")</f>
        <v>2</v>
      </c>
      <c r="M24" s="16">
        <f>+COUNTIF(Tabla67[Pregunta 12],"5")</f>
        <v>1</v>
      </c>
      <c r="N24" s="16">
        <f>+COUNTIF(Tabla67[Pregunta 13],"5")</f>
        <v>2</v>
      </c>
      <c r="O24" s="16">
        <f>+COUNTIF(Tabla67[Pregunta 14],"5")</f>
        <v>2</v>
      </c>
      <c r="P24" s="16">
        <f>+COUNTIF(Tabla67[Pregunta 15],"5")</f>
        <v>2</v>
      </c>
      <c r="Q24" s="16">
        <f>+COUNTIF(Tabla67[Pregunta 16],"5")</f>
        <v>1</v>
      </c>
      <c r="R24" s="16">
        <f>+SUM(Tabla78[[#This Row],[Pregunta 1]:[Pregunta 16]])</f>
        <v>28</v>
      </c>
    </row>
    <row r="25" spans="1:18" x14ac:dyDescent="0.3">
      <c r="A25" s="15" t="s">
        <v>25</v>
      </c>
      <c r="B25" s="16">
        <f>+COUNTIF(Tabla67[Pregunta 1],"4")</f>
        <v>0</v>
      </c>
      <c r="C25" s="16">
        <f>+COUNTIF(Tabla67[Pregunta 2],"4")</f>
        <v>0</v>
      </c>
      <c r="D25" s="16">
        <f>+COUNTIF(Tabla67[Pregunta 3],"4")</f>
        <v>0</v>
      </c>
      <c r="E25" s="16">
        <f>+COUNTIF(Tabla67[Pregunta 4],"4")</f>
        <v>0</v>
      </c>
      <c r="F25" s="16">
        <f>+COUNTIF(Tabla67[Pregunta 5],"4")</f>
        <v>0</v>
      </c>
      <c r="G25" s="16">
        <f>+COUNTIF(Tabla67[Pregunta 6],"4")</f>
        <v>0</v>
      </c>
      <c r="H25" s="16">
        <f>+COUNTIF(Tabla67[Pregunta 7],"4")</f>
        <v>0</v>
      </c>
      <c r="I25" s="16">
        <f>+COUNTIF(Tabla67[Pregunta 8],"4")</f>
        <v>0</v>
      </c>
      <c r="J25" s="16">
        <f>+COUNTIF(Tabla67[Pregunta 9],"4")</f>
        <v>1</v>
      </c>
      <c r="K25" s="16">
        <f>+COUNTIF(Tabla67[Pregunta 10],"4")</f>
        <v>1</v>
      </c>
      <c r="L25" s="16">
        <f>+COUNTIF(Tabla67[Pregunta 11],"4")</f>
        <v>0</v>
      </c>
      <c r="M25" s="16">
        <f>+COUNTIF(Tabla67[Pregunta 12],"4")</f>
        <v>0</v>
      </c>
      <c r="N25" s="16">
        <f>+COUNTIF(Tabla67[Pregunta 13],"4")</f>
        <v>0</v>
      </c>
      <c r="O25" s="16">
        <f>+COUNTIF(Tabla67[Pregunta 14],"4")</f>
        <v>0</v>
      </c>
      <c r="P25" s="16">
        <f>+COUNTIF(Tabla67[Pregunta 15],"4")</f>
        <v>1</v>
      </c>
      <c r="Q25" s="16">
        <f>+COUNTIF(Tabla67[Pregunta 16],"4")</f>
        <v>1</v>
      </c>
      <c r="R25" s="16">
        <f>+SUM(Tabla78[[#This Row],[Pregunta 1]:[Pregunta 16]])</f>
        <v>4</v>
      </c>
    </row>
    <row r="26" spans="1:18" x14ac:dyDescent="0.3">
      <c r="A26" s="17" t="s">
        <v>22</v>
      </c>
      <c r="B26" s="16">
        <f>+COUNTIF(Tabla67[Pregunta 1],"3")</f>
        <v>0</v>
      </c>
      <c r="C26" s="16">
        <f>+COUNTIF(Tabla67[Pregunta 2],"3")</f>
        <v>0</v>
      </c>
      <c r="D26" s="16">
        <f>+COUNTIF(Tabla67[Pregunta 3],"3")</f>
        <v>1</v>
      </c>
      <c r="E26" s="16">
        <f>+COUNTIF(Tabla67[Pregunta 4],"3")</f>
        <v>0</v>
      </c>
      <c r="F26" s="16">
        <f>+COUNTIF(Tabla67[Pregunta 5],"3")</f>
        <v>1</v>
      </c>
      <c r="G26" s="16">
        <f>+COUNTIF(Tabla67[Pregunta 6],"3")</f>
        <v>0</v>
      </c>
      <c r="H26" s="16">
        <f>+COUNTIF(Tabla67[Pregunta 7],"3")</f>
        <v>0</v>
      </c>
      <c r="I26" s="16">
        <f>+COUNTIF(Tabla67[Pregunta 8],"3")</f>
        <v>0</v>
      </c>
      <c r="J26" s="16">
        <f>+COUNTIF(Tabla67[Pregunta 9],"3")</f>
        <v>0</v>
      </c>
      <c r="K26" s="16">
        <f>+COUNTIF(Tabla67[Pregunta 10],"3")</f>
        <v>0</v>
      </c>
      <c r="L26" s="16">
        <f>+COUNTIF(Tabla67[Pregunta 11],"3")</f>
        <v>1</v>
      </c>
      <c r="M26" s="16">
        <f>+COUNTIF(Tabla67[Pregunta 12],"3")</f>
        <v>0</v>
      </c>
      <c r="N26" s="16">
        <f>+COUNTIF(Tabla67[Pregunta 13],"3")</f>
        <v>0</v>
      </c>
      <c r="O26" s="16">
        <f>+COUNTIF(Tabla67[Pregunta 14],"3")</f>
        <v>0</v>
      </c>
      <c r="P26" s="16">
        <f>+COUNTIF(Tabla67[Pregunta 15],"3")</f>
        <v>1</v>
      </c>
      <c r="Q26" s="16">
        <f>+COUNTIF(Tabla67[Pregunta 16],"3")</f>
        <v>1</v>
      </c>
      <c r="R26" s="16">
        <f>+SUM(Tabla78[[#This Row],[Pregunta 1]:[Pregunta 16]])</f>
        <v>5</v>
      </c>
    </row>
    <row r="27" spans="1:18" x14ac:dyDescent="0.3">
      <c r="A27" s="17" t="s">
        <v>23</v>
      </c>
      <c r="B27" s="16">
        <f>+COUNTIF(Tabla67[Pregunta 1],"2")</f>
        <v>1</v>
      </c>
      <c r="C27" s="16">
        <f>+COUNTIF(Tabla67[Pregunta 2],"2")</f>
        <v>1</v>
      </c>
      <c r="D27" s="16">
        <f>+COUNTIF(Tabla67[Pregunta 3],"2")</f>
        <v>1</v>
      </c>
      <c r="E27" s="16">
        <f>+COUNTIF(Tabla67[Pregunta 4],"2")</f>
        <v>1</v>
      </c>
      <c r="F27" s="16">
        <f>+COUNTIF(Tabla67[Pregunta 5],"2")</f>
        <v>0</v>
      </c>
      <c r="G27" s="16">
        <f>+COUNTIF(Tabla67[Pregunta 6],"2")</f>
        <v>0</v>
      </c>
      <c r="H27" s="16">
        <f>+COUNTIF(Tabla67[Pregunta 7],"2")</f>
        <v>2</v>
      </c>
      <c r="I27" s="16">
        <f>+COUNTIF(Tabla67[Pregunta 8],"2")</f>
        <v>0</v>
      </c>
      <c r="J27" s="16">
        <f>+COUNTIF(Tabla67[Pregunta 9],"2")</f>
        <v>2</v>
      </c>
      <c r="K27" s="16">
        <f>+COUNTIF(Tabla67[Pregunta 10],"2")</f>
        <v>1</v>
      </c>
      <c r="L27" s="16">
        <f>+COUNTIF(Tabla67[Pregunta 11],"2")</f>
        <v>0</v>
      </c>
      <c r="M27" s="16">
        <f>+COUNTIF(Tabla67[Pregunta 12],"2")</f>
        <v>1</v>
      </c>
      <c r="N27" s="16">
        <f>+COUNTIF(Tabla67[Pregunta 13],"2")</f>
        <v>0</v>
      </c>
      <c r="O27" s="16">
        <f>+COUNTIF(Tabla67[Pregunta 14],"2")</f>
        <v>1</v>
      </c>
      <c r="P27" s="16">
        <f>+COUNTIF(Tabla67[Pregunta 15],"2")</f>
        <v>1</v>
      </c>
      <c r="Q27" s="16">
        <f>+COUNTIF(Tabla67[Pregunta 16],"2")</f>
        <v>0</v>
      </c>
      <c r="R27" s="16">
        <f>+SUM(Tabla78[[#This Row],[Pregunta 1]:[Pregunta 16]])</f>
        <v>12</v>
      </c>
    </row>
    <row r="28" spans="1:18" x14ac:dyDescent="0.3">
      <c r="A28" s="17" t="s">
        <v>21</v>
      </c>
      <c r="B28" s="16">
        <f>+COUNTIF(Tabla67[Pregunta 1],"1")</f>
        <v>0</v>
      </c>
      <c r="C28" s="16">
        <f>+COUNTIF(Tabla67[Pregunta 2],"1")</f>
        <v>0</v>
      </c>
      <c r="D28" s="16">
        <f>+COUNTIF(Tabla67[Pregunta 3],"1")</f>
        <v>0</v>
      </c>
      <c r="E28" s="16">
        <f>+COUNTIF(Tabla67[Pregunta 4],"1")</f>
        <v>0</v>
      </c>
      <c r="F28" s="16">
        <f>+COUNTIF(Tabla67[Pregunta 5],"1")</f>
        <v>0</v>
      </c>
      <c r="G28" s="16">
        <f>+COUNTIF(Tabla67[Pregunta 6],"1")</f>
        <v>0</v>
      </c>
      <c r="H28" s="16">
        <f>+COUNTIF(Tabla67[Pregunta 7],"1")</f>
        <v>0</v>
      </c>
      <c r="I28" s="16">
        <f>+COUNTIF(Tabla67[Pregunta 8],"1")</f>
        <v>0</v>
      </c>
      <c r="J28" s="16">
        <f>+COUNTIF(Tabla67[Pregunta 9],"1")</f>
        <v>0</v>
      </c>
      <c r="K28" s="16">
        <f>+COUNTIF(Tabla67[Pregunta 10],"1")</f>
        <v>0</v>
      </c>
      <c r="L28" s="16">
        <f>+COUNTIF(Tabla67[Pregunta 11],"1")</f>
        <v>0</v>
      </c>
      <c r="M28" s="16">
        <f>+COUNTIF(Tabla67[Pregunta 12],"1")</f>
        <v>0</v>
      </c>
      <c r="N28" s="16">
        <f>+COUNTIF(Tabla67[Pregunta 13],"1")</f>
        <v>1</v>
      </c>
      <c r="O28" s="16">
        <f>+COUNTIF(Tabla67[Pregunta 14],"1")</f>
        <v>0</v>
      </c>
      <c r="P28" s="16">
        <f>+COUNTIF(Tabla67[Pregunta 15],"1")</f>
        <v>0</v>
      </c>
      <c r="Q28" s="16">
        <f>+COUNTIF(Tabla67[Pregunta 16],"1")</f>
        <v>0</v>
      </c>
      <c r="R28" s="16">
        <f>+SUM(Tabla78[[#This Row],[Pregunta 1]:[Pregunta 16]])</f>
        <v>1</v>
      </c>
    </row>
    <row r="29" spans="1:18" x14ac:dyDescent="0.3">
      <c r="A29" s="18" t="s">
        <v>10</v>
      </c>
      <c r="B29" s="19">
        <f>SUM(B22:B28)</f>
        <v>14</v>
      </c>
      <c r="C29" s="19">
        <f t="shared" ref="C29:R29" si="2">SUM(C22:C28)</f>
        <v>14</v>
      </c>
      <c r="D29" s="19">
        <f t="shared" si="2"/>
        <v>14</v>
      </c>
      <c r="E29" s="19">
        <f t="shared" si="2"/>
        <v>14</v>
      </c>
      <c r="F29" s="19">
        <f t="shared" si="2"/>
        <v>14</v>
      </c>
      <c r="G29" s="19">
        <f t="shared" si="2"/>
        <v>14</v>
      </c>
      <c r="H29" s="19">
        <f t="shared" si="2"/>
        <v>14</v>
      </c>
      <c r="I29" s="19">
        <f t="shared" si="2"/>
        <v>13</v>
      </c>
      <c r="J29" s="19">
        <f t="shared" si="2"/>
        <v>14</v>
      </c>
      <c r="K29" s="19">
        <f t="shared" si="2"/>
        <v>14</v>
      </c>
      <c r="L29" s="19">
        <f t="shared" si="2"/>
        <v>14</v>
      </c>
      <c r="M29" s="19">
        <f t="shared" si="2"/>
        <v>14</v>
      </c>
      <c r="N29" s="19">
        <f t="shared" si="2"/>
        <v>14</v>
      </c>
      <c r="O29" s="19">
        <f t="shared" si="2"/>
        <v>14</v>
      </c>
      <c r="P29" s="19">
        <f t="shared" si="2"/>
        <v>14</v>
      </c>
      <c r="Q29" s="19">
        <f t="shared" si="2"/>
        <v>14</v>
      </c>
      <c r="R29" s="19">
        <f t="shared" si="2"/>
        <v>223</v>
      </c>
    </row>
  </sheetData>
  <conditionalFormatting sqref="B16:Q16">
    <cfRule type="cellIs" dxfId="0" priority="1" operator="lessThan">
      <formula>3</formula>
    </cfRule>
  </conditionalFormatting>
  <dataValidations count="1">
    <dataValidation type="list" allowBlank="1" showInputMessage="1" showErrorMessage="1" sqref="B2:Q15" xr:uid="{EBCA7384-926A-4387-A2EF-A088B7A5495F}">
      <formula1>$AB$5:$AB$15</formula1>
    </dataValidation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CF5F-58E2-425E-88AF-42B53D919A80}">
  <dimension ref="A1:D21"/>
  <sheetViews>
    <sheetView tabSelected="1" workbookViewId="0">
      <selection activeCell="D27" sqref="D27"/>
    </sheetView>
  </sheetViews>
  <sheetFormatPr baseColWidth="10" defaultRowHeight="14.4" x14ac:dyDescent="0.3"/>
  <cols>
    <col min="1" max="1" width="23.77734375" bestFit="1" customWidth="1"/>
  </cols>
  <sheetData>
    <row r="1" spans="1:4" x14ac:dyDescent="0.3">
      <c r="A1" s="25" t="s">
        <v>30</v>
      </c>
      <c r="B1" s="25" t="s">
        <v>27</v>
      </c>
      <c r="C1" s="25" t="s">
        <v>28</v>
      </c>
      <c r="D1" s="25" t="s">
        <v>29</v>
      </c>
    </row>
    <row r="2" spans="1:4" x14ac:dyDescent="0.3">
      <c r="A2" s="21" t="s">
        <v>19</v>
      </c>
      <c r="B2" s="23">
        <v>54</v>
      </c>
      <c r="C2" s="25">
        <v>23</v>
      </c>
      <c r="D2" s="25">
        <v>71</v>
      </c>
    </row>
    <row r="3" spans="1:4" x14ac:dyDescent="0.3">
      <c r="A3" s="22" t="s">
        <v>20</v>
      </c>
      <c r="B3" s="24">
        <v>32</v>
      </c>
      <c r="C3" s="25">
        <v>22</v>
      </c>
      <c r="D3" s="25">
        <v>102</v>
      </c>
    </row>
    <row r="4" spans="1:4" x14ac:dyDescent="0.3">
      <c r="A4" s="21" t="s">
        <v>24</v>
      </c>
      <c r="B4" s="23">
        <v>5</v>
      </c>
      <c r="C4" s="25">
        <v>1</v>
      </c>
      <c r="D4" s="25">
        <v>28</v>
      </c>
    </row>
    <row r="5" spans="1:4" x14ac:dyDescent="0.3">
      <c r="A5" s="22" t="s">
        <v>25</v>
      </c>
      <c r="B5" s="24">
        <v>2</v>
      </c>
      <c r="C5" s="25">
        <v>2</v>
      </c>
      <c r="D5" s="25">
        <v>4</v>
      </c>
    </row>
    <row r="6" spans="1:4" x14ac:dyDescent="0.3">
      <c r="A6" s="21" t="s">
        <v>22</v>
      </c>
      <c r="B6" s="23">
        <v>3</v>
      </c>
      <c r="C6" s="25">
        <v>0</v>
      </c>
      <c r="D6" s="25">
        <v>5</v>
      </c>
    </row>
    <row r="7" spans="1:4" x14ac:dyDescent="0.3">
      <c r="A7" s="22" t="s">
        <v>23</v>
      </c>
      <c r="B7" s="24">
        <v>0</v>
      </c>
      <c r="C7" s="25">
        <v>0</v>
      </c>
      <c r="D7" s="25">
        <v>12</v>
      </c>
    </row>
    <row r="8" spans="1:4" x14ac:dyDescent="0.3">
      <c r="A8" s="21" t="s">
        <v>21</v>
      </c>
      <c r="B8" s="23">
        <v>0</v>
      </c>
      <c r="C8" s="25">
        <v>0</v>
      </c>
      <c r="D8" s="25">
        <v>1</v>
      </c>
    </row>
    <row r="9" spans="1:4" x14ac:dyDescent="0.3">
      <c r="B9">
        <f>+SUM(B2:B8)</f>
        <v>96</v>
      </c>
      <c r="C9">
        <f t="shared" ref="C9:D9" si="0">+SUM(C2:C8)</f>
        <v>48</v>
      </c>
      <c r="D9">
        <f t="shared" si="0"/>
        <v>223</v>
      </c>
    </row>
    <row r="13" spans="1:4" x14ac:dyDescent="0.3">
      <c r="A13" s="25" t="s">
        <v>30</v>
      </c>
      <c r="B13" s="25" t="s">
        <v>27</v>
      </c>
      <c r="C13" s="25" t="s">
        <v>28</v>
      </c>
      <c r="D13" s="25" t="s">
        <v>29</v>
      </c>
    </row>
    <row r="14" spans="1:4" x14ac:dyDescent="0.3">
      <c r="A14" s="21" t="s">
        <v>19</v>
      </c>
      <c r="B14" s="26">
        <f>+((B2 * 100)/$B$9)</f>
        <v>56.25</v>
      </c>
      <c r="C14" s="26">
        <f>+((C2 * 100)/$C$9)</f>
        <v>47.916666666666664</v>
      </c>
      <c r="D14" s="26">
        <f>+((D2 * 100)/$D$9)</f>
        <v>31.838565022421523</v>
      </c>
    </row>
    <row r="15" spans="1:4" x14ac:dyDescent="0.3">
      <c r="A15" s="22" t="s">
        <v>20</v>
      </c>
      <c r="B15" s="26">
        <f t="shared" ref="B15:B20" si="1">+((B3 * 100)/$B$9)</f>
        <v>33.333333333333336</v>
      </c>
      <c r="C15" s="26">
        <f t="shared" ref="C15:C20" si="2">+((C3 * 100)/$C$9)</f>
        <v>45.833333333333336</v>
      </c>
      <c r="D15" s="26">
        <f t="shared" ref="D15:D20" si="3">+((D3 * 100)/$D$9)</f>
        <v>45.739910313901348</v>
      </c>
    </row>
    <row r="16" spans="1:4" x14ac:dyDescent="0.3">
      <c r="A16" s="21" t="s">
        <v>24</v>
      </c>
      <c r="B16" s="26">
        <f t="shared" si="1"/>
        <v>5.208333333333333</v>
      </c>
      <c r="C16" s="26">
        <f t="shared" si="2"/>
        <v>2.0833333333333335</v>
      </c>
      <c r="D16" s="26">
        <f t="shared" si="3"/>
        <v>12.556053811659194</v>
      </c>
    </row>
    <row r="17" spans="1:4" x14ac:dyDescent="0.3">
      <c r="A17" s="22" t="s">
        <v>25</v>
      </c>
      <c r="B17" s="26">
        <f t="shared" si="1"/>
        <v>2.0833333333333335</v>
      </c>
      <c r="C17" s="26">
        <f t="shared" si="2"/>
        <v>4.166666666666667</v>
      </c>
      <c r="D17" s="26">
        <f t="shared" si="3"/>
        <v>1.7937219730941705</v>
      </c>
    </row>
    <row r="18" spans="1:4" x14ac:dyDescent="0.3">
      <c r="A18" s="21" t="s">
        <v>22</v>
      </c>
      <c r="B18" s="26">
        <f t="shared" si="1"/>
        <v>3.125</v>
      </c>
      <c r="C18" s="26">
        <f t="shared" si="2"/>
        <v>0</v>
      </c>
      <c r="D18" s="26">
        <f t="shared" si="3"/>
        <v>2.2421524663677128</v>
      </c>
    </row>
    <row r="19" spans="1:4" x14ac:dyDescent="0.3">
      <c r="A19" s="22" t="s">
        <v>23</v>
      </c>
      <c r="B19" s="26">
        <f t="shared" si="1"/>
        <v>0</v>
      </c>
      <c r="C19" s="26">
        <f t="shared" si="2"/>
        <v>0</v>
      </c>
      <c r="D19" s="26">
        <f t="shared" si="3"/>
        <v>5.3811659192825116</v>
      </c>
    </row>
    <row r="20" spans="1:4" x14ac:dyDescent="0.3">
      <c r="A20" s="21" t="s">
        <v>21</v>
      </c>
      <c r="B20" s="26">
        <f t="shared" si="1"/>
        <v>0</v>
      </c>
      <c r="C20" s="26">
        <f t="shared" si="2"/>
        <v>0</v>
      </c>
      <c r="D20" s="26">
        <f t="shared" si="3"/>
        <v>0.44843049327354262</v>
      </c>
    </row>
    <row r="21" spans="1:4" x14ac:dyDescent="0.3">
      <c r="B21" s="27">
        <f>+SUM(B14:B20)</f>
        <v>100</v>
      </c>
      <c r="C21" s="27">
        <f>+SUM(C14:C20)</f>
        <v>100</v>
      </c>
      <c r="D21" s="27">
        <f>+SUM(D14:D20)</f>
        <v>100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ADAM</vt:lpstr>
      <vt:lpstr>HEPO</vt:lpstr>
      <vt:lpstr>IKEJAS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2023-01-12T03:37:41Z</dcterms:created>
  <dcterms:modified xsi:type="dcterms:W3CDTF">2023-01-12T05:21:30Z</dcterms:modified>
</cp:coreProperties>
</file>