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460" firstSheet="3" activeTab="4"/>
  </bookViews>
  <sheets>
    <sheet name="PSP1.1 Project Plan Summary " sheetId="1" r:id="rId1"/>
    <sheet name="Size Estimating Template " sheetId="2" state="hidden" r:id="rId2"/>
    <sheet name="PSP Time Recording Log" sheetId="3" state="hidden" r:id="rId3"/>
    <sheet name="Probe - Times" sheetId="4" r:id="rId4"/>
    <sheet name="Probe - Sizes" sheetId="7" r:id="rId5"/>
    <sheet name="LOC_X_HORA - Rango" sheetId="6" state="hidden" r:id="rId6"/>
    <sheet name="Prediction Interval - Size" sheetId="5" state="hidden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" l="1"/>
  <c r="I6" i="4"/>
  <c r="I6" i="7"/>
  <c r="I7" i="7"/>
  <c r="D10" i="7"/>
  <c r="E6" i="6"/>
  <c r="E13" i="1"/>
  <c r="G13" i="1"/>
  <c r="D6" i="6"/>
  <c r="E43" i="1"/>
  <c r="G50" i="1"/>
  <c r="E73" i="1"/>
  <c r="G64" i="1"/>
  <c r="G61" i="1"/>
  <c r="G62" i="1"/>
  <c r="E65" i="1"/>
  <c r="G60" i="1"/>
  <c r="E56" i="1"/>
  <c r="E15" i="1"/>
  <c r="E59" i="2"/>
  <c r="E36" i="1"/>
  <c r="G36" i="1"/>
  <c r="G72" i="1"/>
  <c r="G71" i="1"/>
  <c r="G70" i="1"/>
  <c r="G69" i="1"/>
  <c r="G68" i="1"/>
  <c r="G74" i="1"/>
  <c r="G63" i="1"/>
  <c r="G55" i="1"/>
  <c r="G53" i="1"/>
  <c r="G54" i="1"/>
  <c r="G52" i="1"/>
  <c r="G51" i="1"/>
  <c r="G43" i="1"/>
  <c r="C36" i="1"/>
  <c r="G15" i="1"/>
  <c r="F5" i="6"/>
  <c r="F4" i="6"/>
  <c r="C11" i="6"/>
  <c r="C6" i="6"/>
  <c r="C10" i="6"/>
  <c r="D10" i="6"/>
  <c r="F10" i="6"/>
  <c r="K38" i="2"/>
  <c r="C43" i="1"/>
  <c r="K37" i="2"/>
  <c r="K36" i="2"/>
  <c r="K35" i="2"/>
  <c r="K34" i="2"/>
  <c r="K33" i="2"/>
  <c r="C56" i="1"/>
  <c r="C14" i="1"/>
  <c r="G16" i="1"/>
  <c r="D10" i="4"/>
  <c r="E68" i="2"/>
  <c r="E71" i="2"/>
  <c r="F6" i="6"/>
  <c r="C13" i="1"/>
  <c r="G68" i="2"/>
  <c r="G56" i="1"/>
  <c r="G65" i="1"/>
  <c r="I62" i="1"/>
  <c r="G73" i="1"/>
  <c r="I68" i="1"/>
  <c r="I71" i="1"/>
  <c r="K44" i="2"/>
  <c r="G59" i="2"/>
  <c r="O44" i="2"/>
  <c r="M44" i="2"/>
  <c r="K27" i="2"/>
  <c r="I27" i="2"/>
  <c r="G27" i="2"/>
  <c r="E27" i="2"/>
  <c r="K17" i="2"/>
  <c r="E63" i="2"/>
  <c r="I17" i="2"/>
  <c r="C30" i="1"/>
  <c r="G17" i="2"/>
  <c r="C27" i="1"/>
  <c r="E17" i="2"/>
  <c r="C24" i="1"/>
  <c r="E41" i="1"/>
  <c r="E18" i="1"/>
  <c r="G18" i="1"/>
  <c r="C33" i="1"/>
  <c r="C39" i="1"/>
  <c r="E64" i="2"/>
  <c r="I73" i="1"/>
  <c r="I61" i="1"/>
  <c r="I64" i="1"/>
  <c r="I60" i="1"/>
  <c r="I63" i="1"/>
  <c r="I69" i="1"/>
  <c r="I70" i="1"/>
  <c r="I72" i="1"/>
  <c r="I51" i="1"/>
  <c r="I53" i="1"/>
  <c r="I55" i="1"/>
  <c r="I52" i="1"/>
  <c r="I54" i="1"/>
  <c r="I56" i="1"/>
  <c r="I50" i="1"/>
  <c r="E33" i="1"/>
  <c r="E39" i="1"/>
  <c r="G39" i="1"/>
  <c r="E19" i="1"/>
  <c r="G19" i="1"/>
  <c r="G41" i="1"/>
  <c r="C46" i="1"/>
  <c r="E69" i="2"/>
  <c r="E70" i="2"/>
  <c r="G72" i="2"/>
  <c r="G73" i="2"/>
  <c r="G75" i="2"/>
  <c r="C41" i="1"/>
  <c r="C19" i="1"/>
  <c r="C18" i="1"/>
  <c r="G74" i="2"/>
</calcChain>
</file>

<file path=xl/sharedStrings.xml><?xml version="1.0" encoding="utf-8"?>
<sst xmlns="http://schemas.openxmlformats.org/spreadsheetml/2006/main" count="276" uniqueCount="170">
  <si>
    <t>Summary</t>
  </si>
  <si>
    <t>Size/Hour</t>
  </si>
  <si>
    <t>Planned Time</t>
  </si>
  <si>
    <t>Actual Time</t>
  </si>
  <si>
    <t>CPI (Cost-Performance Index)</t>
  </si>
  <si>
    <t>Plan</t>
  </si>
  <si>
    <t>Actual</t>
  </si>
  <si>
    <t>To Date</t>
  </si>
  <si>
    <t>(Planned/Actual)</t>
  </si>
  <si>
    <t>% Reused</t>
  </si>
  <si>
    <t>% New Reusable</t>
  </si>
  <si>
    <t>Program Size</t>
  </si>
  <si>
    <t xml:space="preserve">  Base (B)</t>
  </si>
  <si>
    <t xml:space="preserve">  Deleted (D) </t>
  </si>
  <si>
    <t xml:space="preserve">  Modified (M)</t>
  </si>
  <si>
    <t xml:space="preserve">  Added (A)</t>
  </si>
  <si>
    <t xml:space="preserve">  Reused (R)</t>
  </si>
  <si>
    <t>Added and Modified (A+M)</t>
  </si>
  <si>
    <t>Total Size (T)</t>
  </si>
  <si>
    <t>Total New Reusable</t>
  </si>
  <si>
    <t>Estimated Proxy Size  (E)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</si>
  <si>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</si>
  <si>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</si>
  <si>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</si>
  <si>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</si>
  <si>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</si>
  <si>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</si>
  <si>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 xml:space="preserve">    Total</t>
  </si>
  <si>
    <t>(Measured)</t>
  </si>
  <si>
    <t>(Estimated)</t>
  </si>
  <si>
    <t>(Counted)</t>
  </si>
  <si>
    <t>(Projected)</t>
  </si>
  <si>
    <t>(A + M)</t>
  </si>
  <si>
    <t>To Date %</t>
  </si>
  <si>
    <t>Defects Injected</t>
  </si>
  <si>
    <t xml:space="preserve">    Total Development</t>
  </si>
  <si>
    <t>Defects Removed</t>
  </si>
  <si>
    <t xml:space="preserve">  After Development</t>
  </si>
  <si>
    <t xml:space="preserve">PSP1.1 Project Plan Summary </t>
  </si>
  <si>
    <t>Estimated</t>
  </si>
  <si>
    <t>Base Parts</t>
  </si>
  <si>
    <t>Base</t>
  </si>
  <si>
    <t>Deleted</t>
  </si>
  <si>
    <t>Modified</t>
  </si>
  <si>
    <t>Added</t>
  </si>
  <si>
    <t>Total</t>
  </si>
  <si>
    <t>B</t>
  </si>
  <si>
    <t>D</t>
  </si>
  <si>
    <t>M</t>
  </si>
  <si>
    <t>BA</t>
  </si>
  <si>
    <t>Parts Additions</t>
  </si>
  <si>
    <t>Type</t>
  </si>
  <si>
    <t>Items</t>
  </si>
  <si>
    <t>Rel. Size</t>
  </si>
  <si>
    <t>Size*</t>
  </si>
  <si>
    <t>PA</t>
  </si>
  <si>
    <t>Reused Parts</t>
  </si>
  <si>
    <t>Size</t>
  </si>
  <si>
    <t>R</t>
  </si>
  <si>
    <t>PROBE Calculation Worksheet (Added and Modified)</t>
  </si>
  <si>
    <t>Time</t>
  </si>
  <si>
    <t>Added size (A):                                                     A = BA+PA</t>
  </si>
  <si>
    <t>Estimated Proxy Size (E):              E = BA+PA+M</t>
  </si>
  <si>
    <t>PROBE estimating basis used:  (A, B, C, or D)</t>
  </si>
  <si>
    <r>
      <t>Correlation: (R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</si>
  <si>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Estimated Total Size (T):                               T = P + B - D - M + R</t>
  </si>
  <si>
    <t xml:space="preserve">Estimated Total New Reusable (NR):                   sum of * items                                       </t>
  </si>
  <si>
    <t>Prediction Range:                                              Range</t>
  </si>
  <si>
    <t>Upper Prediction Interval:                                UPI = P + Range</t>
  </si>
  <si>
    <t>Lower Prediction Interval:                                LPI = P - Range</t>
  </si>
  <si>
    <t>Prediction Interval Percent:</t>
  </si>
  <si>
    <t xml:space="preserve">PSP Time Recording Log </t>
  </si>
  <si>
    <t>Student</t>
  </si>
  <si>
    <t>Juan Camilo Mendieta Silva</t>
  </si>
  <si>
    <t>Date</t>
  </si>
  <si>
    <t>Program</t>
  </si>
  <si>
    <t>Program #</t>
  </si>
  <si>
    <t>Instructor</t>
  </si>
  <si>
    <t>Luis Daniel Benavides</t>
  </si>
  <si>
    <t>Language</t>
  </si>
  <si>
    <t>JAVA</t>
  </si>
  <si>
    <t>Project</t>
  </si>
  <si>
    <t>Phase</t>
  </si>
  <si>
    <t>Start Date and Time</t>
  </si>
  <si>
    <t>Int. Time</t>
  </si>
  <si>
    <t>Stop Date and Time</t>
  </si>
  <si>
    <t>Comments</t>
  </si>
  <si>
    <t>Delta Time</t>
  </si>
  <si>
    <t xml:space="preserve">Size Estimating Template </t>
  </si>
  <si>
    <t>Programa 4 – Calculo Rangos de Tamaño LOC usando Desviación Estándar</t>
  </si>
  <si>
    <t>Programa 4</t>
  </si>
  <si>
    <t>Planning - Requerimientos</t>
  </si>
  <si>
    <t>0 h</t>
  </si>
  <si>
    <t>0,5 h</t>
  </si>
  <si>
    <t>Se realiza la especificación de requerimientos</t>
  </si>
  <si>
    <t>Planning - Diseño Conceptual</t>
  </si>
  <si>
    <t>Se realiza el diseño conceptual para la estimaciòn de tamaños para cada una de las partes y items</t>
  </si>
  <si>
    <t>0h</t>
  </si>
  <si>
    <t>Calculo</t>
  </si>
  <si>
    <t>Lista</t>
  </si>
  <si>
    <t>Nodo</t>
  </si>
  <si>
    <t>RangoTamanoRelativo</t>
  </si>
  <si>
    <t>CalculoTamanoRelativo</t>
  </si>
  <si>
    <t>Time in Phase (horas.)</t>
  </si>
  <si>
    <t>1h</t>
  </si>
  <si>
    <t>PanelEncabezado</t>
  </si>
  <si>
    <t>PanelCalculoTamanoRelativo</t>
  </si>
  <si>
    <t>InterfazCalculoRangoTamaoRelativoDE (Principal)</t>
  </si>
  <si>
    <t>CalculoTamanoRelativoTest</t>
  </si>
  <si>
    <t>C++ Object Size in LOC per Method</t>
  </si>
  <si>
    <t>Category</t>
  </si>
  <si>
    <t>VS</t>
  </si>
  <si>
    <t>S</t>
  </si>
  <si>
    <t>L</t>
  </si>
  <si>
    <t>VL</t>
  </si>
  <si>
    <t>Calc</t>
  </si>
  <si>
    <t>Data</t>
  </si>
  <si>
    <t>I/O</t>
  </si>
  <si>
    <t>Logic</t>
  </si>
  <si>
    <t>Set-up</t>
  </si>
  <si>
    <t>Text</t>
  </si>
  <si>
    <t>Se utiliza la siguiente tabla, propuesta en el libro de PSP</t>
  </si>
  <si>
    <t>NOTA:</t>
  </si>
  <si>
    <t>Set-Up</t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</si>
  <si>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Times New Roman"/>
        <family val="1"/>
      </rPr>
      <t xml:space="preserve"> Size and Time</t>
    </r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</si>
  <si>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 xml:space="preserve">1 </t>
    </r>
    <r>
      <rPr>
        <sz val="10"/>
        <color theme="1"/>
        <rFont val="Times New Roman"/>
        <family val="1"/>
      </rPr>
      <t>Size and Time</t>
    </r>
  </si>
  <si>
    <r>
      <t>Projected Added and Modified Size (P):            P = b0</t>
    </r>
    <r>
      <rPr>
        <vertAlign val="subscript"/>
        <sz val="10"/>
        <color theme="1"/>
        <rFont val="Times New Roman"/>
        <family val="1"/>
      </rPr>
      <t xml:space="preserve">size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size</t>
    </r>
    <r>
      <rPr>
        <sz val="10"/>
        <color theme="1"/>
        <rFont val="Times New Roman"/>
        <family val="1"/>
      </rPr>
      <t>*E</t>
    </r>
  </si>
  <si>
    <r>
      <t>Estimated Total Development Time:              Time = b0</t>
    </r>
    <r>
      <rPr>
        <vertAlign val="subscript"/>
        <sz val="10"/>
        <color theme="1"/>
        <rFont val="Times New Roman"/>
        <family val="1"/>
      </rPr>
      <t xml:space="preserve">time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time</t>
    </r>
    <r>
      <rPr>
        <sz val="10"/>
        <color theme="1"/>
        <rFont val="Times New Roman"/>
        <family val="1"/>
      </rPr>
      <t>*E</t>
    </r>
  </si>
  <si>
    <t>Calculo (Se marca con *, para determinar que es reutilizable)</t>
  </si>
  <si>
    <t>C</t>
  </si>
  <si>
    <t>N/A</t>
  </si>
  <si>
    <t>Metodo C - Probe</t>
  </si>
  <si>
    <t>actual total added and modified size to date</t>
  </si>
  <si>
    <t>plan total added and modified size to date</t>
  </si>
  <si>
    <t>Programa 1</t>
  </si>
  <si>
    <t>Programa 2</t>
  </si>
  <si>
    <t>Programa 3</t>
  </si>
  <si>
    <t>B1 = (actual total added and modified size to date/plan total added and modified size to date)</t>
  </si>
  <si>
    <t xml:space="preserve">B0 </t>
  </si>
  <si>
    <t>Planning -  Plan Summary Form - Size Estimate</t>
  </si>
  <si>
    <t>Se completa el Plan Summary y la plantilla de estimaciòn de tamaños de acuerdo al metodo PROB</t>
  </si>
  <si>
    <t>-</t>
  </si>
  <si>
    <t>LOC x hora</t>
  </si>
  <si>
    <t>LOC Adicionadas y Modificadas</t>
  </si>
  <si>
    <t>Nhoras</t>
  </si>
  <si>
    <t>Total Ponderado</t>
  </si>
  <si>
    <t>Time Estimating Procedure 5C</t>
  </si>
  <si>
    <t>Rango</t>
  </si>
  <si>
    <t xml:space="preserve">Mínimo </t>
  </si>
  <si>
    <t>Maximo</t>
  </si>
  <si>
    <t>Tiempo (horas)</t>
  </si>
  <si>
    <t>Tamaño Estimado</t>
  </si>
  <si>
    <t>Tiempo Promedio</t>
  </si>
  <si>
    <t>B1 = (actual total development time to date/estimated – total added and modified size to date)</t>
  </si>
  <si>
    <r>
      <t xml:space="preserve">(A+M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M)</t>
    </r>
  </si>
  <si>
    <r>
      <t xml:space="preserve">(T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B + D </t>
    </r>
    <r>
      <rPr>
        <sz val="10"/>
        <color theme="1"/>
        <rFont val="Symbol"/>
        <family val="1"/>
        <charset val="2"/>
      </rPr>
      <t>-</t>
    </r>
    <r>
      <rPr>
        <sz val="10"/>
        <color theme="1"/>
        <rFont val="Times New Roman"/>
        <family val="1"/>
      </rPr>
      <t xml:space="preserve"> R)</t>
    </r>
  </si>
  <si>
    <t>2h</t>
  </si>
  <si>
    <t>Desarrollo - Diseño</t>
  </si>
  <si>
    <t>2,5h</t>
  </si>
  <si>
    <t>Elaboraciòn diseño de clases de las entidades establecidas.</t>
  </si>
  <si>
    <t>Desarrollo - Codificacion</t>
  </si>
  <si>
    <t>Se realiza la codificaciòn del proyectos</t>
  </si>
  <si>
    <t>2,56h</t>
  </si>
  <si>
    <t>Se realiza las pruebas de cada uno de los casos propuestos en el enunciado del requerimiento, completando el formato de pruebas de usuario.</t>
  </si>
  <si>
    <t>Desarrollo - Pruebas</t>
  </si>
  <si>
    <t>0,8h</t>
  </si>
  <si>
    <t>actual total added and modified Time to date</t>
  </si>
  <si>
    <t>plan total added and modified time to date</t>
  </si>
  <si>
    <t>Size Estimating Procedure 5C</t>
  </si>
  <si>
    <t>Programa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</si>
</sst>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7"/>
      <color theme="1"/>
      <name val="Times New Roman"/>
      <family val="1"/>
    </font>
    <font>
      <b/>
      <i/>
      <sz val="6"/>
      <color theme="1"/>
      <name val="Times New Roman"/>
      <family val="1"/>
    </font>
    <font>
      <b/>
      <sz val="10"/>
      <color theme="1"/>
      <name val="Arial"/>
      <family val="2"/>
    </font>
    <font>
      <vertAlign val="superscript"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/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2" fillId="0" borderId="1" xfId="0" applyFont="1" applyBorder="1"/>
    <xf numFmtId="0" fontId="4" fillId="0" borderId="1" xfId="0" applyFont="1" applyBorder="1"/>
    <xf numFmtId="22" fontId="4" fillId="0" borderId="1" xfId="0" applyNumberFormat="1" applyFont="1" applyBorder="1"/>
    <xf numFmtId="22" fontId="4" fillId="0" borderId="1" xfId="0" applyNumberFormat="1" applyFont="1" applyBorder="1" applyAlignment="1">
      <alignment wrapText="1"/>
    </xf>
    <xf numFmtId="0" fontId="2" fillId="0" borderId="0" xfId="0" applyFont="1"/>
    <xf numFmtId="0" fontId="12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13" fillId="0" borderId="0" xfId="0" applyFont="1"/>
    <xf numFmtId="2" fontId="4" fillId="0" borderId="9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2" fontId="12" fillId="0" borderId="1" xfId="0" applyNumberFormat="1" applyFont="1" applyBorder="1"/>
    <xf numFmtId="0" fontId="14" fillId="0" borderId="1" xfId="0" applyFont="1" applyBorder="1"/>
    <xf numFmtId="0" fontId="16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6" fillId="0" borderId="1" xfId="0" applyFont="1" applyBorder="1"/>
    <xf numFmtId="0" fontId="1" fillId="3" borderId="1" xfId="0" applyFont="1" applyFill="1" applyBorder="1" applyAlignment="1">
      <alignment horizontal="right"/>
    </xf>
    <xf numFmtId="0" fontId="17" fillId="0" borderId="0" xfId="0" applyFont="1"/>
    <xf numFmtId="0" fontId="17" fillId="0" borderId="0" xfId="0" applyFont="1" applyBorder="1"/>
    <xf numFmtId="0" fontId="17" fillId="0" borderId="0" xfId="0" applyFont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2" fontId="17" fillId="0" borderId="0" xfId="0" applyNumberFormat="1" applyFont="1"/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/>
    <xf numFmtId="2" fontId="4" fillId="0" borderId="3" xfId="0" applyNumberFormat="1" applyFont="1" applyBorder="1"/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wrapText="1"/>
    </xf>
    <xf numFmtId="2" fontId="4" fillId="0" borderId="0" xfId="0" applyNumberFormat="1" applyFont="1" applyAlignment="1">
      <alignment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0" xfId="0" applyNumberFormat="1" applyFont="1" applyBorder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17" fillId="0" borderId="0" xfId="0" applyNumberFormat="1" applyFont="1" applyBorder="1"/>
    <xf numFmtId="2" fontId="4" fillId="0" borderId="0" xfId="0" applyNumberFormat="1" applyFont="1" applyBorder="1"/>
    <xf numFmtId="2" fontId="3" fillId="0" borderId="0" xfId="0" applyNumberFormat="1" applyFont="1" applyAlignment="1">
      <alignment vertical="center" wrapText="1"/>
    </xf>
    <xf numFmtId="2" fontId="17" fillId="0" borderId="2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 vertical="center" wrapText="1"/>
    </xf>
    <xf numFmtId="2" fontId="5" fillId="0" borderId="3" xfId="0" applyNumberFormat="1" applyFont="1" applyBorder="1"/>
    <xf numFmtId="2" fontId="4" fillId="0" borderId="0" xfId="0" applyNumberFormat="1" applyFont="1" applyAlignment="1">
      <alignment horizontal="center" vertical="center" wrapText="1"/>
    </xf>
    <xf numFmtId="2" fontId="4" fillId="0" borderId="10" xfId="0" applyNumberFormat="1" applyFont="1" applyBorder="1" applyAlignment="1">
      <alignment vertical="center"/>
    </xf>
    <xf numFmtId="2" fontId="3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0" fillId="0" borderId="0" xfId="0" applyBorder="1"/>
    <xf numFmtId="0" fontId="12" fillId="0" borderId="0" xfId="0" applyFont="1" applyBorder="1"/>
    <xf numFmtId="0" fontId="2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wrapText="1"/>
    </xf>
    <xf numFmtId="2" fontId="12" fillId="0" borderId="0" xfId="0" applyNumberFormat="1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FA79"/>
  <sheetViews>
    <sheetView topLeftCell="A55" workbookViewId="0">
      <selection activeCell="G19" sqref="G19"/>
    </sheetView>
  </sheetViews>
  <sheetFormatPr baseColWidth="10" defaultRowHeight="14" x14ac:dyDescent="0"/>
  <cols>
    <col min="2" max="2" width="27.5" bestFit="1" customWidth="1"/>
    <col min="3" max="3" width="13.83203125" style="77" customWidth="1"/>
    <col min="4" max="4" width="3.6640625" customWidth="1"/>
    <col min="5" max="5" width="15.83203125" style="77" customWidth="1"/>
    <col min="6" max="6" width="3.5" customWidth="1"/>
    <col min="7" max="7" width="17.6640625" style="77" customWidth="1"/>
    <col min="8" max="8" width="2.83203125" customWidth="1"/>
    <col min="9" max="9" width="15.5" style="77" customWidth="1"/>
  </cols>
  <sheetData>
    <row r="4" spans="2:10">
      <c r="B4" s="112" t="s">
        <v>38</v>
      </c>
      <c r="C4" s="112"/>
      <c r="D4" s="112"/>
      <c r="E4" s="112"/>
      <c r="F4" s="112"/>
      <c r="G4" s="112"/>
      <c r="H4" s="112"/>
      <c r="I4" s="112"/>
      <c r="J4" s="112"/>
    </row>
    <row r="5" spans="2:10">
      <c r="H5" s="19"/>
      <c r="I5" s="74"/>
      <c r="J5" s="19"/>
    </row>
    <row r="6" spans="2:10">
      <c r="B6" s="1" t="s">
        <v>72</v>
      </c>
      <c r="C6" s="110" t="s">
        <v>73</v>
      </c>
      <c r="D6" s="110"/>
      <c r="E6" s="110"/>
      <c r="F6" s="22"/>
      <c r="G6" s="93" t="s">
        <v>74</v>
      </c>
      <c r="H6" s="113">
        <v>41322</v>
      </c>
      <c r="I6" s="113"/>
      <c r="J6" s="113"/>
    </row>
    <row r="7" spans="2:10" ht="33.75" customHeight="1">
      <c r="B7" s="1" t="s">
        <v>75</v>
      </c>
      <c r="C7" s="111" t="s">
        <v>89</v>
      </c>
      <c r="D7" s="111"/>
      <c r="E7" s="111"/>
      <c r="F7" s="23"/>
      <c r="G7" s="93" t="s">
        <v>76</v>
      </c>
      <c r="H7" s="111">
        <v>4</v>
      </c>
      <c r="I7" s="111"/>
      <c r="J7" s="111"/>
    </row>
    <row r="8" spans="2:10" ht="15" customHeight="1">
      <c r="B8" s="1" t="s">
        <v>77</v>
      </c>
      <c r="C8" s="110" t="s">
        <v>78</v>
      </c>
      <c r="D8" s="110"/>
      <c r="E8" s="110"/>
      <c r="F8" s="23"/>
      <c r="G8" s="93" t="s">
        <v>79</v>
      </c>
      <c r="H8" s="111" t="s">
        <v>80</v>
      </c>
      <c r="I8" s="111"/>
      <c r="J8" s="111"/>
    </row>
    <row r="11" spans="2:10">
      <c r="C11" s="76" t="s">
        <v>5</v>
      </c>
      <c r="D11" s="6"/>
      <c r="E11" s="76" t="s">
        <v>6</v>
      </c>
      <c r="F11" s="6"/>
      <c r="G11" s="76" t="s">
        <v>7</v>
      </c>
      <c r="H11" s="70"/>
      <c r="I11" s="75"/>
    </row>
    <row r="12" spans="2:10">
      <c r="B12" s="1" t="s">
        <v>0</v>
      </c>
      <c r="C12" s="83"/>
      <c r="D12" s="2"/>
      <c r="E12" s="75"/>
      <c r="F12" s="70"/>
      <c r="G12" s="75"/>
      <c r="H12" s="70"/>
      <c r="I12" s="75"/>
    </row>
    <row r="13" spans="2:10">
      <c r="B13" s="2" t="s">
        <v>1</v>
      </c>
      <c r="C13" s="73">
        <f>'LOC_X_HORA - Rango'!F6</f>
        <v>56.153846153846153</v>
      </c>
      <c r="D13" s="27"/>
      <c r="E13" s="84">
        <f>'LOC_X_HORA - Rango'!E6</f>
        <v>74.21875</v>
      </c>
      <c r="F13" s="71"/>
      <c r="G13" s="73">
        <f>56.15+E13</f>
        <v>130.36875000000001</v>
      </c>
      <c r="H13" s="70"/>
      <c r="I13" s="75"/>
    </row>
    <row r="14" spans="2:10">
      <c r="B14" s="3" t="s">
        <v>2</v>
      </c>
      <c r="C14" s="84">
        <f>C56</f>
        <v>7.5</v>
      </c>
      <c r="D14" s="27"/>
      <c r="E14" s="91"/>
      <c r="F14" s="71"/>
      <c r="G14" s="73">
        <v>11</v>
      </c>
      <c r="H14" s="70"/>
      <c r="I14" s="75"/>
    </row>
    <row r="15" spans="2:10">
      <c r="B15" s="3" t="s">
        <v>3</v>
      </c>
      <c r="C15" s="85"/>
      <c r="D15" s="27"/>
      <c r="E15" s="84">
        <f>E56</f>
        <v>9.8600000000000012</v>
      </c>
      <c r="F15" s="71"/>
      <c r="G15" s="73">
        <f>E15+'Probe - Sizes'!I6</f>
        <v>323.86</v>
      </c>
      <c r="H15" s="70"/>
      <c r="I15" s="75"/>
    </row>
    <row r="16" spans="2:10" ht="27" customHeight="1">
      <c r="B16" s="3" t="s">
        <v>4</v>
      </c>
      <c r="C16" s="86"/>
      <c r="D16" s="3"/>
      <c r="E16" s="75"/>
      <c r="F16" s="70"/>
      <c r="G16" s="94">
        <f>C14/E15</f>
        <v>0.76064908722109525</v>
      </c>
      <c r="H16" s="70"/>
      <c r="I16" s="75"/>
    </row>
    <row r="17" spans="2:9 16381:16381">
      <c r="B17" s="8"/>
      <c r="C17" s="75"/>
      <c r="D17" s="70"/>
      <c r="E17" s="75"/>
      <c r="F17" s="70"/>
      <c r="G17" s="87" t="s">
        <v>8</v>
      </c>
      <c r="H17" s="70"/>
      <c r="I17" s="75"/>
    </row>
    <row r="18" spans="2:9 16381:16381">
      <c r="B18" s="3" t="s">
        <v>9</v>
      </c>
      <c r="C18" s="84">
        <f>('Size Estimating Template '!E59/'Size Estimating Template '!E70)*100</f>
        <v>39.298980261049252</v>
      </c>
      <c r="D18" s="70"/>
      <c r="E18" s="84">
        <f>('Size Estimating Template '!G59/'PSP1.1 Project Plan Summary '!E41)*100</f>
        <v>46.666666666666664</v>
      </c>
      <c r="F18" s="70"/>
      <c r="G18" s="73">
        <f>E18</f>
        <v>46.666666666666664</v>
      </c>
      <c r="H18" s="70"/>
      <c r="I18" s="75"/>
    </row>
    <row r="19" spans="2:9 16381:16381">
      <c r="B19" s="3" t="s">
        <v>10</v>
      </c>
      <c r="C19" s="84">
        <f>('Size Estimating Template '!K38/'Size Estimating Template '!E70)*100</f>
        <v>3.1579537709771723</v>
      </c>
      <c r="D19" s="70"/>
      <c r="E19" s="84">
        <f>('Size Estimating Template '!M38/'PSP1.1 Project Plan Summary '!E41)*100</f>
        <v>3.939393939393939</v>
      </c>
      <c r="F19" s="70"/>
      <c r="G19" s="73">
        <f>E19</f>
        <v>3.939393939393939</v>
      </c>
      <c r="H19" s="70"/>
      <c r="I19" s="75"/>
    </row>
    <row r="20" spans="2:9 16381:16381">
      <c r="B20" s="3"/>
      <c r="C20" s="85"/>
      <c r="D20" s="70"/>
      <c r="E20" s="85"/>
      <c r="F20" s="70"/>
      <c r="G20" s="85"/>
      <c r="H20" s="70"/>
      <c r="I20" s="75"/>
    </row>
    <row r="21" spans="2:9 16381:16381">
      <c r="B21" s="3"/>
      <c r="C21" s="85"/>
      <c r="D21" s="70"/>
      <c r="E21" s="85"/>
      <c r="F21" s="70"/>
      <c r="G21" s="85"/>
      <c r="H21" s="70"/>
      <c r="I21" s="75"/>
    </row>
    <row r="22" spans="2:9 16381:16381">
      <c r="B22" s="9"/>
      <c r="C22" s="76" t="s">
        <v>5</v>
      </c>
      <c r="D22" s="6"/>
      <c r="E22" s="76" t="s">
        <v>6</v>
      </c>
      <c r="F22" s="6"/>
      <c r="G22" s="76" t="s">
        <v>7</v>
      </c>
      <c r="H22" s="70"/>
      <c r="I22" s="75"/>
    </row>
    <row r="23" spans="2:9 16381:16381">
      <c r="B23" s="1" t="s">
        <v>11</v>
      </c>
      <c r="C23" s="75"/>
      <c r="D23" s="70"/>
      <c r="E23" s="75"/>
      <c r="F23" s="70"/>
      <c r="G23" s="75"/>
      <c r="H23" s="70"/>
      <c r="I23" s="75"/>
    </row>
    <row r="24" spans="2:9 16381:16381">
      <c r="B24" s="2" t="s">
        <v>12</v>
      </c>
      <c r="C24" s="73">
        <f>'Size Estimating Template '!E17</f>
        <v>0</v>
      </c>
      <c r="D24" s="70"/>
      <c r="E24" s="84">
        <v>0</v>
      </c>
      <c r="F24" s="70"/>
      <c r="G24" s="85"/>
      <c r="H24" s="70"/>
      <c r="I24" s="75"/>
    </row>
    <row r="25" spans="2:9 16381:16381">
      <c r="B25" s="2"/>
      <c r="C25" s="87" t="s">
        <v>28</v>
      </c>
      <c r="D25" s="72"/>
      <c r="E25" s="87" t="s">
        <v>28</v>
      </c>
      <c r="F25" s="72"/>
      <c r="G25" s="95"/>
      <c r="H25" s="70"/>
      <c r="I25" s="75"/>
      <c r="XFA25" s="7"/>
    </row>
    <row r="26" spans="2:9 16381:16381">
      <c r="B26" s="8"/>
      <c r="C26" s="88"/>
      <c r="D26" s="72"/>
      <c r="E26" s="88"/>
      <c r="F26" s="72"/>
      <c r="G26" s="96"/>
      <c r="H26" s="70"/>
      <c r="I26" s="75"/>
    </row>
    <row r="27" spans="2:9 16381:16381">
      <c r="B27" s="2" t="s">
        <v>13</v>
      </c>
      <c r="C27" s="73">
        <f>'Size Estimating Template '!G17</f>
        <v>0</v>
      </c>
      <c r="D27" s="72"/>
      <c r="E27" s="73">
        <v>0</v>
      </c>
      <c r="F27" s="72"/>
      <c r="G27" s="95"/>
      <c r="H27" s="70"/>
      <c r="I27" s="75"/>
    </row>
    <row r="28" spans="2:9 16381:16381">
      <c r="B28" s="2"/>
      <c r="C28" s="87" t="s">
        <v>29</v>
      </c>
      <c r="D28" s="72"/>
      <c r="E28" s="87" t="s">
        <v>30</v>
      </c>
      <c r="F28" s="72"/>
      <c r="G28" s="95"/>
      <c r="H28" s="70"/>
      <c r="I28" s="75"/>
    </row>
    <row r="29" spans="2:9 16381:16381">
      <c r="B29" s="8"/>
      <c r="C29" s="88"/>
      <c r="D29" s="72"/>
      <c r="E29" s="88"/>
      <c r="F29" s="72"/>
      <c r="G29" s="96"/>
      <c r="H29" s="70"/>
      <c r="I29" s="75"/>
    </row>
    <row r="30" spans="2:9 16381:16381">
      <c r="B30" s="2" t="s">
        <v>14</v>
      </c>
      <c r="C30" s="73">
        <f>'Size Estimating Template '!I17</f>
        <v>0</v>
      </c>
      <c r="D30" s="72"/>
      <c r="E30" s="73">
        <v>0</v>
      </c>
      <c r="F30" s="72"/>
      <c r="G30" s="95"/>
      <c r="H30" s="70"/>
      <c r="I30" s="75"/>
    </row>
    <row r="31" spans="2:9 16381:16381">
      <c r="B31" s="2"/>
      <c r="C31" s="87" t="s">
        <v>29</v>
      </c>
      <c r="D31" s="72"/>
      <c r="E31" s="87" t="s">
        <v>30</v>
      </c>
      <c r="F31" s="72"/>
      <c r="G31" s="95"/>
      <c r="H31" s="70"/>
      <c r="I31" s="75"/>
    </row>
    <row r="32" spans="2:9 16381:16381">
      <c r="B32" s="8"/>
      <c r="C32" s="88"/>
      <c r="D32" s="72"/>
      <c r="E32" s="88"/>
      <c r="F32" s="72"/>
      <c r="G32" s="96"/>
      <c r="H32" s="70"/>
      <c r="I32" s="75"/>
    </row>
    <row r="33" spans="2:11">
      <c r="B33" s="2" t="s">
        <v>15</v>
      </c>
      <c r="C33" s="73">
        <f>'Size Estimating Template '!E63</f>
        <v>143.85999999999999</v>
      </c>
      <c r="D33" s="72"/>
      <c r="E33" s="73">
        <f>E41-E24+E27-E36</f>
        <v>190</v>
      </c>
      <c r="F33" s="72"/>
      <c r="G33" s="95"/>
      <c r="H33" s="70"/>
      <c r="I33" s="75"/>
    </row>
    <row r="34" spans="2:11">
      <c r="B34" s="2"/>
      <c r="C34" s="87" t="s">
        <v>154</v>
      </c>
      <c r="D34" s="72"/>
      <c r="E34" s="87" t="s">
        <v>155</v>
      </c>
      <c r="F34" s="72"/>
      <c r="G34" s="95"/>
      <c r="H34" s="70"/>
      <c r="I34" s="75"/>
    </row>
    <row r="35" spans="2:11">
      <c r="B35" s="8"/>
      <c r="C35" s="88"/>
      <c r="D35" s="72"/>
      <c r="E35" s="88"/>
      <c r="F35" s="72"/>
      <c r="G35" s="96"/>
      <c r="H35" s="70"/>
      <c r="I35" s="75"/>
    </row>
    <row r="36" spans="2:11">
      <c r="B36" s="2" t="s">
        <v>16</v>
      </c>
      <c r="C36" s="73">
        <f>'Size Estimating Template '!E59</f>
        <v>140</v>
      </c>
      <c r="D36" s="72"/>
      <c r="E36" s="73">
        <f>'Size Estimating Template '!E59</f>
        <v>140</v>
      </c>
      <c r="F36" s="72"/>
      <c r="G36" s="73">
        <f>163+E36</f>
        <v>303</v>
      </c>
      <c r="H36" s="70"/>
      <c r="I36" s="75"/>
    </row>
    <row r="37" spans="2:11">
      <c r="B37" s="2"/>
      <c r="C37" s="87" t="s">
        <v>29</v>
      </c>
      <c r="D37" s="72"/>
      <c r="E37" s="87" t="s">
        <v>30</v>
      </c>
      <c r="F37" s="72"/>
      <c r="G37" s="95"/>
      <c r="H37" s="70"/>
      <c r="I37" s="75"/>
    </row>
    <row r="38" spans="2:11">
      <c r="B38" s="8"/>
      <c r="C38" s="88"/>
      <c r="D38" s="72"/>
      <c r="E38" s="88"/>
      <c r="F38" s="72"/>
      <c r="G38" s="88"/>
      <c r="H38" s="70"/>
      <c r="I38" s="75"/>
    </row>
    <row r="39" spans="2:11">
      <c r="B39" s="2" t="s">
        <v>17</v>
      </c>
      <c r="C39" s="73">
        <f>C33+C30</f>
        <v>143.85999999999999</v>
      </c>
      <c r="D39" s="72"/>
      <c r="E39" s="73">
        <f>E33+E30</f>
        <v>190</v>
      </c>
      <c r="F39" s="72"/>
      <c r="G39" s="73">
        <f>730+E39</f>
        <v>920</v>
      </c>
      <c r="H39" s="70"/>
      <c r="I39" s="75"/>
    </row>
    <row r="40" spans="2:11">
      <c r="B40" s="8"/>
      <c r="C40" s="87" t="s">
        <v>29</v>
      </c>
      <c r="D40" s="72"/>
      <c r="E40" s="87" t="s">
        <v>32</v>
      </c>
      <c r="F40" s="72"/>
      <c r="G40" s="88"/>
      <c r="H40" s="70"/>
      <c r="I40" s="75"/>
    </row>
    <row r="41" spans="2:11">
      <c r="B41" s="2" t="s">
        <v>18</v>
      </c>
      <c r="C41" s="73">
        <f>'Size Estimating Template '!E70</f>
        <v>356.24334033613445</v>
      </c>
      <c r="D41" s="72"/>
      <c r="E41" s="73">
        <f>SUM('Size Estimating Template '!M33:M37)+'Size Estimating Template '!G59</f>
        <v>330</v>
      </c>
      <c r="F41" s="72"/>
      <c r="G41" s="73">
        <f>E41+893</f>
        <v>1223</v>
      </c>
      <c r="H41" s="70"/>
      <c r="I41" s="75"/>
    </row>
    <row r="42" spans="2:11">
      <c r="B42" s="10"/>
      <c r="C42" s="87" t="s">
        <v>31</v>
      </c>
      <c r="D42" s="72"/>
      <c r="E42" s="87" t="s">
        <v>28</v>
      </c>
      <c r="F42" s="72"/>
      <c r="G42" s="88"/>
      <c r="H42" s="70"/>
      <c r="I42" s="75"/>
    </row>
    <row r="43" spans="2:11">
      <c r="B43" s="2" t="s">
        <v>19</v>
      </c>
      <c r="C43" s="73">
        <f>'Size Estimating Template '!K38</f>
        <v>11.25</v>
      </c>
      <c r="D43" s="72"/>
      <c r="E43" s="73">
        <f>'Size Estimating Template '!M38</f>
        <v>13</v>
      </c>
      <c r="F43" s="72"/>
      <c r="G43" s="73">
        <f>74+E43</f>
        <v>87</v>
      </c>
      <c r="H43" s="70"/>
      <c r="I43" s="75"/>
    </row>
    <row r="44" spans="2:11">
      <c r="B44" s="10"/>
      <c r="C44" s="87"/>
      <c r="D44" s="72"/>
      <c r="E44" s="87"/>
      <c r="F44" s="72"/>
      <c r="G44" s="88"/>
      <c r="H44" s="70"/>
      <c r="I44" s="75"/>
    </row>
    <row r="45" spans="2:11">
      <c r="B45" s="10"/>
      <c r="C45" s="78"/>
      <c r="D45" s="70"/>
      <c r="E45" s="92"/>
      <c r="F45" s="71"/>
      <c r="G45" s="91"/>
      <c r="H45" s="70"/>
      <c r="I45" s="75"/>
    </row>
    <row r="46" spans="2:11">
      <c r="B46" s="2" t="s">
        <v>20</v>
      </c>
      <c r="C46" s="73">
        <f>'Size Estimating Template '!E64</f>
        <v>143.85999999999999</v>
      </c>
      <c r="D46" s="70"/>
      <c r="E46" s="85"/>
      <c r="F46" s="71"/>
      <c r="G46" s="85"/>
      <c r="H46" s="70"/>
      <c r="I46" s="75"/>
    </row>
    <row r="47" spans="2:11">
      <c r="B47" s="2"/>
      <c r="C47" s="85"/>
      <c r="D47" s="70"/>
      <c r="E47" s="85"/>
      <c r="F47" s="71"/>
      <c r="G47" s="85"/>
      <c r="H47" s="70"/>
      <c r="I47" s="75"/>
    </row>
    <row r="48" spans="2:11">
      <c r="B48" s="3"/>
      <c r="C48" s="76" t="s">
        <v>5</v>
      </c>
      <c r="D48" s="4"/>
      <c r="E48" s="76" t="s">
        <v>6</v>
      </c>
      <c r="F48" s="4"/>
      <c r="G48" s="76" t="s">
        <v>7</v>
      </c>
      <c r="H48" s="4"/>
      <c r="I48" s="76" t="s">
        <v>33</v>
      </c>
      <c r="J48" s="37"/>
      <c r="K48" s="37"/>
    </row>
    <row r="49" spans="1:11">
      <c r="B49" s="1" t="s">
        <v>103</v>
      </c>
      <c r="C49" s="78"/>
      <c r="D49" s="37"/>
      <c r="E49" s="78"/>
      <c r="F49" s="37"/>
      <c r="G49" s="78"/>
      <c r="H49" s="37"/>
      <c r="I49" s="78"/>
      <c r="J49" s="37"/>
      <c r="K49" s="37"/>
    </row>
    <row r="50" spans="1:11">
      <c r="B50" s="2" t="s">
        <v>21</v>
      </c>
      <c r="C50" s="89">
        <v>1</v>
      </c>
      <c r="D50" s="37"/>
      <c r="E50" s="79">
        <v>3.5</v>
      </c>
      <c r="F50" s="37"/>
      <c r="G50" s="79">
        <f>8.56+E50</f>
        <v>12.06</v>
      </c>
      <c r="H50" s="37"/>
      <c r="I50" s="79">
        <f>(G50/$G$56)*100</f>
        <v>26.149176062445793</v>
      </c>
      <c r="J50" s="37"/>
      <c r="K50" s="37"/>
    </row>
    <row r="51" spans="1:11">
      <c r="B51" s="2" t="s">
        <v>22</v>
      </c>
      <c r="C51" s="89">
        <v>1</v>
      </c>
      <c r="D51" s="37"/>
      <c r="E51" s="79">
        <v>2.5</v>
      </c>
      <c r="F51" s="37"/>
      <c r="G51" s="79">
        <f>4.56+E51</f>
        <v>7.06</v>
      </c>
      <c r="H51" s="37"/>
      <c r="I51" s="79">
        <f t="shared" ref="I51:I56" si="0">(G51/$G$56)*100</f>
        <v>15.307892454466609</v>
      </c>
      <c r="J51" s="37"/>
      <c r="K51" s="37"/>
    </row>
    <row r="52" spans="1:11">
      <c r="B52" s="2" t="s">
        <v>23</v>
      </c>
      <c r="C52" s="89">
        <v>3</v>
      </c>
      <c r="D52" s="37"/>
      <c r="E52" s="79">
        <v>2.56</v>
      </c>
      <c r="F52" s="37"/>
      <c r="G52" s="79">
        <f>14.54+E52</f>
        <v>17.099999999999998</v>
      </c>
      <c r="H52" s="37"/>
      <c r="I52" s="79">
        <f t="shared" si="0"/>
        <v>37.077189939288807</v>
      </c>
      <c r="J52" s="37"/>
      <c r="K52" s="37"/>
    </row>
    <row r="53" spans="1:11">
      <c r="B53" s="2" t="s">
        <v>24</v>
      </c>
      <c r="C53" s="89">
        <v>0.5</v>
      </c>
      <c r="D53" s="37"/>
      <c r="E53" s="79">
        <v>0.5</v>
      </c>
      <c r="F53" s="37"/>
      <c r="G53" s="79">
        <f>2+E53</f>
        <v>2.5</v>
      </c>
      <c r="H53" s="37"/>
      <c r="I53" s="79">
        <f t="shared" si="0"/>
        <v>5.4206418039895929</v>
      </c>
      <c r="J53" s="37"/>
      <c r="K53" s="37"/>
    </row>
    <row r="54" spans="1:11">
      <c r="B54" s="2" t="s">
        <v>25</v>
      </c>
      <c r="C54" s="89">
        <v>1</v>
      </c>
      <c r="D54" s="37"/>
      <c r="E54" s="79">
        <v>0.8</v>
      </c>
      <c r="F54" s="37"/>
      <c r="G54" s="79">
        <f>3.6+E54</f>
        <v>4.4000000000000004</v>
      </c>
      <c r="H54" s="37"/>
      <c r="I54" s="79">
        <f t="shared" si="0"/>
        <v>9.5403295750216834</v>
      </c>
      <c r="J54" s="37"/>
      <c r="K54" s="37"/>
    </row>
    <row r="55" spans="1:11">
      <c r="B55" s="2" t="s">
        <v>26</v>
      </c>
      <c r="C55" s="89">
        <v>1</v>
      </c>
      <c r="D55" s="37"/>
      <c r="E55" s="79"/>
      <c r="F55" s="37"/>
      <c r="G55" s="79">
        <f>3+E55</f>
        <v>3</v>
      </c>
      <c r="H55" s="37"/>
      <c r="I55" s="79">
        <f t="shared" si="0"/>
        <v>6.5047701647875114</v>
      </c>
      <c r="J55" s="37"/>
      <c r="K55" s="37"/>
    </row>
    <row r="56" spans="1:11">
      <c r="A56" s="37"/>
      <c r="B56" s="2" t="s">
        <v>27</v>
      </c>
      <c r="C56" s="90">
        <f>SUM(C50:C55)</f>
        <v>7.5</v>
      </c>
      <c r="D56" s="37"/>
      <c r="E56" s="79">
        <f>SUM(E50:E55)</f>
        <v>9.8600000000000012</v>
      </c>
      <c r="F56" s="37"/>
      <c r="G56" s="79">
        <f>SUM(G50:G55)</f>
        <v>46.12</v>
      </c>
      <c r="H56" s="37"/>
      <c r="I56" s="79">
        <f t="shared" si="0"/>
        <v>100</v>
      </c>
      <c r="J56" s="37"/>
      <c r="K56" s="37"/>
    </row>
    <row r="57" spans="1:11">
      <c r="A57" s="37"/>
      <c r="B57" s="37"/>
      <c r="C57" s="78"/>
      <c r="D57" s="37"/>
      <c r="E57" s="78"/>
      <c r="F57" s="37"/>
      <c r="G57" s="78"/>
      <c r="H57" s="37"/>
      <c r="I57" s="78"/>
      <c r="J57" s="37"/>
      <c r="K57" s="37"/>
    </row>
    <row r="58" spans="1:11">
      <c r="A58" s="37"/>
      <c r="B58" s="37"/>
      <c r="C58" s="78"/>
      <c r="D58" s="37"/>
      <c r="E58" s="80" t="s">
        <v>6</v>
      </c>
      <c r="F58" s="28"/>
      <c r="G58" s="80" t="s">
        <v>7</v>
      </c>
      <c r="H58" s="28"/>
      <c r="I58" s="80" t="s">
        <v>33</v>
      </c>
      <c r="J58" s="37"/>
      <c r="K58" s="37"/>
    </row>
    <row r="59" spans="1:11">
      <c r="A59" s="37"/>
      <c r="B59" s="1" t="s">
        <v>34</v>
      </c>
      <c r="C59" s="78"/>
      <c r="D59" s="37"/>
      <c r="E59" s="78"/>
      <c r="F59" s="37"/>
      <c r="G59" s="78"/>
      <c r="H59" s="37"/>
      <c r="I59" s="78"/>
      <c r="J59" s="37"/>
      <c r="K59" s="37"/>
    </row>
    <row r="60" spans="1:11">
      <c r="A60" s="37"/>
      <c r="B60" s="2" t="s">
        <v>21</v>
      </c>
      <c r="C60" s="78"/>
      <c r="D60" s="37"/>
      <c r="E60" s="79">
        <v>0</v>
      </c>
      <c r="F60" s="37"/>
      <c r="G60" s="79">
        <f>0+E60</f>
        <v>0</v>
      </c>
      <c r="H60" s="37"/>
      <c r="I60" s="79">
        <f>(G60/$G$65)*100</f>
        <v>0</v>
      </c>
      <c r="J60" s="37"/>
      <c r="K60" s="37"/>
    </row>
    <row r="61" spans="1:11">
      <c r="A61" s="37"/>
      <c r="B61" s="2" t="s">
        <v>22</v>
      </c>
      <c r="C61" s="78"/>
      <c r="D61" s="37"/>
      <c r="E61" s="79">
        <v>2</v>
      </c>
      <c r="F61" s="37"/>
      <c r="G61" s="79">
        <f>6+E61</f>
        <v>8</v>
      </c>
      <c r="H61" s="37"/>
      <c r="I61" s="79">
        <f t="shared" ref="I61:I64" si="1">(G61/$G$65)*100</f>
        <v>42.105263157894733</v>
      </c>
      <c r="J61" s="37"/>
      <c r="K61" s="37"/>
    </row>
    <row r="62" spans="1:11">
      <c r="A62" s="37"/>
      <c r="B62" s="2" t="s">
        <v>23</v>
      </c>
      <c r="C62" s="78"/>
      <c r="D62" s="37"/>
      <c r="E62" s="79">
        <v>2</v>
      </c>
      <c r="F62" s="37"/>
      <c r="G62" s="79">
        <f>5+E62</f>
        <v>7</v>
      </c>
      <c r="H62" s="37"/>
      <c r="I62" s="79">
        <f t="shared" si="1"/>
        <v>36.84210526315789</v>
      </c>
      <c r="J62" s="37"/>
      <c r="K62" s="37"/>
    </row>
    <row r="63" spans="1:11">
      <c r="A63" s="37"/>
      <c r="B63" s="2" t="s">
        <v>24</v>
      </c>
      <c r="C63" s="78"/>
      <c r="D63" s="37"/>
      <c r="E63" s="79">
        <v>0</v>
      </c>
      <c r="F63" s="37"/>
      <c r="G63" s="79">
        <f>0+E63</f>
        <v>0</v>
      </c>
      <c r="H63" s="37"/>
      <c r="I63" s="79">
        <f t="shared" si="1"/>
        <v>0</v>
      </c>
      <c r="J63" s="37"/>
      <c r="K63" s="37"/>
    </row>
    <row r="64" spans="1:11">
      <c r="A64" s="37"/>
      <c r="B64" s="2" t="s">
        <v>25</v>
      </c>
      <c r="C64" s="78"/>
      <c r="D64" s="37"/>
      <c r="E64" s="79">
        <v>0</v>
      </c>
      <c r="F64" s="37"/>
      <c r="G64" s="79">
        <f>4+E64</f>
        <v>4</v>
      </c>
      <c r="H64" s="37"/>
      <c r="I64" s="79">
        <f t="shared" si="1"/>
        <v>21.052631578947366</v>
      </c>
      <c r="J64" s="37"/>
      <c r="K64" s="37"/>
    </row>
    <row r="65" spans="1:11">
      <c r="A65" s="37"/>
      <c r="B65" s="2" t="s">
        <v>35</v>
      </c>
      <c r="C65" s="78"/>
      <c r="D65" s="37"/>
      <c r="E65" s="79">
        <f>SUM(E60:E64)</f>
        <v>4</v>
      </c>
      <c r="F65" s="37"/>
      <c r="G65" s="79">
        <f>SUM(G60:G64)</f>
        <v>19</v>
      </c>
      <c r="H65" s="37"/>
      <c r="I65" s="78"/>
      <c r="J65" s="37"/>
      <c r="K65" s="37"/>
    </row>
    <row r="66" spans="1:11">
      <c r="A66" s="37"/>
      <c r="B66" s="3"/>
      <c r="C66" s="78"/>
      <c r="D66" s="37"/>
      <c r="E66" s="78"/>
      <c r="F66" s="37"/>
      <c r="G66" s="78"/>
      <c r="H66" s="37"/>
      <c r="I66" s="78"/>
      <c r="J66" s="37"/>
      <c r="K66" s="37"/>
    </row>
    <row r="67" spans="1:11">
      <c r="A67" s="37"/>
      <c r="B67" s="1" t="s">
        <v>36</v>
      </c>
      <c r="C67" s="78"/>
      <c r="D67" s="37"/>
      <c r="E67" s="78"/>
      <c r="F67" s="37"/>
      <c r="G67" s="78"/>
      <c r="H67" s="37"/>
      <c r="I67" s="78"/>
      <c r="J67" s="37"/>
      <c r="K67" s="37"/>
    </row>
    <row r="68" spans="1:11">
      <c r="A68" s="37"/>
      <c r="B68" s="2" t="s">
        <v>21</v>
      </c>
      <c r="C68" s="78"/>
      <c r="D68" s="37"/>
      <c r="E68" s="79">
        <v>0</v>
      </c>
      <c r="F68" s="37"/>
      <c r="G68" s="79">
        <f>0+E68</f>
        <v>0</v>
      </c>
      <c r="H68" s="37"/>
      <c r="I68" s="79">
        <f>(G68/$G$73)*100</f>
        <v>0</v>
      </c>
      <c r="J68" s="37"/>
      <c r="K68" s="37"/>
    </row>
    <row r="69" spans="1:11">
      <c r="A69" s="37"/>
      <c r="B69" s="2" t="s">
        <v>22</v>
      </c>
      <c r="C69" s="78"/>
      <c r="D69" s="37"/>
      <c r="E69" s="79">
        <v>0</v>
      </c>
      <c r="F69" s="37"/>
      <c r="G69" s="79">
        <f>0+E69</f>
        <v>0</v>
      </c>
      <c r="H69" s="37"/>
      <c r="I69" s="79">
        <f t="shared" ref="I69:I73" si="2">(G69/$G$73)*100</f>
        <v>0</v>
      </c>
      <c r="J69" s="37"/>
      <c r="K69" s="37"/>
    </row>
    <row r="70" spans="1:11">
      <c r="A70" s="37"/>
      <c r="B70" s="2" t="s">
        <v>23</v>
      </c>
      <c r="C70" s="78"/>
      <c r="D70" s="37"/>
      <c r="E70" s="79">
        <v>2</v>
      </c>
      <c r="F70" s="37"/>
      <c r="G70" s="79">
        <f>23+E70</f>
        <v>25</v>
      </c>
      <c r="H70" s="37"/>
      <c r="I70" s="79">
        <f t="shared" si="2"/>
        <v>69.444444444444443</v>
      </c>
      <c r="J70" s="37"/>
      <c r="K70" s="37"/>
    </row>
    <row r="71" spans="1:11">
      <c r="A71" s="37"/>
      <c r="B71" s="2" t="s">
        <v>24</v>
      </c>
      <c r="C71" s="78"/>
      <c r="D71" s="37"/>
      <c r="E71" s="79">
        <v>0</v>
      </c>
      <c r="F71" s="37"/>
      <c r="G71" s="79">
        <f>0+E71</f>
        <v>0</v>
      </c>
      <c r="H71" s="37"/>
      <c r="I71" s="79">
        <f t="shared" si="2"/>
        <v>0</v>
      </c>
      <c r="J71" s="37"/>
      <c r="K71" s="37"/>
    </row>
    <row r="72" spans="1:11">
      <c r="A72" s="37"/>
      <c r="B72" s="2" t="s">
        <v>25</v>
      </c>
      <c r="C72" s="78"/>
      <c r="D72" s="37"/>
      <c r="E72" s="79">
        <v>2</v>
      </c>
      <c r="F72" s="37"/>
      <c r="G72" s="79">
        <f>5+E72</f>
        <v>7</v>
      </c>
      <c r="H72" s="37"/>
      <c r="I72" s="79">
        <f t="shared" si="2"/>
        <v>19.444444444444446</v>
      </c>
      <c r="J72" s="37"/>
      <c r="K72" s="37"/>
    </row>
    <row r="73" spans="1:11">
      <c r="A73" s="37"/>
      <c r="B73" s="2" t="s">
        <v>35</v>
      </c>
      <c r="C73" s="78"/>
      <c r="D73" s="37"/>
      <c r="E73" s="79">
        <f>SUM(E68:E72)</f>
        <v>4</v>
      </c>
      <c r="F73" s="37"/>
      <c r="G73" s="79">
        <f>SUM(G68:G72)+E73</f>
        <v>36</v>
      </c>
      <c r="H73" s="37"/>
      <c r="I73" s="79">
        <f t="shared" si="2"/>
        <v>100</v>
      </c>
      <c r="J73" s="37"/>
      <c r="K73" s="37"/>
    </row>
    <row r="74" spans="1:11">
      <c r="A74" s="37"/>
      <c r="B74" s="2" t="s">
        <v>37</v>
      </c>
      <c r="C74" s="78"/>
      <c r="D74" s="37"/>
      <c r="E74" s="79">
        <v>0</v>
      </c>
      <c r="F74" s="37"/>
      <c r="G74" s="79">
        <f>0</f>
        <v>0</v>
      </c>
      <c r="H74" s="37"/>
      <c r="I74" s="78"/>
      <c r="J74" s="37"/>
      <c r="K74" s="37"/>
    </row>
    <row r="75" spans="1:11">
      <c r="A75" s="37"/>
      <c r="B75" s="37"/>
      <c r="C75" s="78"/>
      <c r="D75" s="37"/>
      <c r="E75" s="78"/>
      <c r="F75" s="37"/>
      <c r="G75" s="78"/>
      <c r="H75" s="37"/>
      <c r="I75" s="78"/>
      <c r="J75" s="37"/>
      <c r="K75" s="37"/>
    </row>
    <row r="76" spans="1:11">
      <c r="A76" s="37"/>
      <c r="B76" s="37"/>
      <c r="C76" s="78"/>
      <c r="D76" s="37"/>
      <c r="E76" s="78"/>
      <c r="F76" s="37"/>
      <c r="G76" s="78"/>
      <c r="H76" s="37"/>
      <c r="I76" s="78"/>
      <c r="J76" s="37"/>
      <c r="K76" s="37"/>
    </row>
    <row r="77" spans="1:11">
      <c r="A77" s="37"/>
      <c r="B77" s="37"/>
      <c r="C77" s="78"/>
      <c r="D77" s="37"/>
      <c r="E77" s="78"/>
      <c r="F77" s="37"/>
      <c r="G77" s="78"/>
      <c r="H77" s="37"/>
      <c r="I77" s="78"/>
      <c r="J77" s="37"/>
      <c r="K77" s="37"/>
    </row>
    <row r="78" spans="1:11">
      <c r="A78" s="37"/>
      <c r="B78" s="37"/>
      <c r="C78" s="78"/>
      <c r="D78" s="37"/>
      <c r="E78" s="78"/>
      <c r="F78" s="37"/>
      <c r="G78" s="78"/>
      <c r="H78" s="37"/>
      <c r="I78" s="78"/>
      <c r="J78" s="37"/>
      <c r="K78" s="37"/>
    </row>
    <row r="79" spans="1:11">
      <c r="A79" s="37"/>
      <c r="B79" s="37"/>
      <c r="C79" s="78"/>
      <c r="D79" s="37"/>
      <c r="E79" s="78"/>
      <c r="F79" s="37"/>
      <c r="G79" s="78"/>
      <c r="H79" s="37"/>
      <c r="I79" s="78"/>
      <c r="J79" s="37"/>
      <c r="K79" s="37"/>
    </row>
  </sheetData>
  <mergeCells count="7">
    <mergeCell ref="C8:E8"/>
    <mergeCell ref="H8:J8"/>
    <mergeCell ref="B4:J4"/>
    <mergeCell ref="C6:E6"/>
    <mergeCell ref="H6:J6"/>
    <mergeCell ref="C7:E7"/>
    <mergeCell ref="H7:J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89"/>
  <sheetViews>
    <sheetView topLeftCell="B54" zoomScale="115" zoomScaleNormal="115" zoomScalePageLayoutView="115" workbookViewId="0">
      <selection activeCell="K50" sqref="K50"/>
    </sheetView>
  </sheetViews>
  <sheetFormatPr baseColWidth="10" defaultRowHeight="12" x14ac:dyDescent="0"/>
  <cols>
    <col min="1" max="2" width="10.83203125" style="37"/>
    <col min="3" max="3" width="35.6640625" style="37" bestFit="1" customWidth="1"/>
    <col min="4" max="4" width="4.6640625" style="37" customWidth="1"/>
    <col min="5" max="5" width="10.83203125" style="37"/>
    <col min="6" max="6" width="3.5" style="37" customWidth="1"/>
    <col min="7" max="7" width="10.83203125" style="78"/>
    <col min="8" max="8" width="3.5" style="37" customWidth="1"/>
    <col min="9" max="9" width="10.83203125" style="37"/>
    <col min="10" max="10" width="3.33203125" style="37" customWidth="1"/>
    <col min="11" max="13" width="10.83203125" style="37"/>
    <col min="14" max="14" width="5.1640625" style="37" customWidth="1"/>
    <col min="15" max="16384" width="10.83203125" style="37"/>
  </cols>
  <sheetData>
    <row r="2" spans="3:12" ht="16">
      <c r="C2" s="117" t="s">
        <v>88</v>
      </c>
      <c r="D2" s="117"/>
      <c r="E2" s="117"/>
      <c r="F2" s="117"/>
      <c r="G2" s="117"/>
      <c r="H2" s="117"/>
      <c r="I2" s="117"/>
      <c r="J2" s="117"/>
      <c r="K2" s="117"/>
      <c r="L2" s="117"/>
    </row>
    <row r="4" spans="3:12">
      <c r="C4" s="29" t="s">
        <v>72</v>
      </c>
      <c r="D4" s="110" t="s">
        <v>73</v>
      </c>
      <c r="E4" s="110"/>
      <c r="F4" s="110"/>
      <c r="G4" s="110"/>
      <c r="I4" s="121" t="s">
        <v>74</v>
      </c>
      <c r="J4" s="121"/>
      <c r="K4" s="113">
        <v>41322</v>
      </c>
      <c r="L4" s="113"/>
    </row>
    <row r="5" spans="3:12" ht="37.5" customHeight="1">
      <c r="C5" s="29" t="s">
        <v>75</v>
      </c>
      <c r="D5" s="111" t="s">
        <v>89</v>
      </c>
      <c r="E5" s="111"/>
      <c r="F5" s="111"/>
      <c r="G5" s="111"/>
      <c r="I5" s="120" t="s">
        <v>76</v>
      </c>
      <c r="J5" s="120"/>
      <c r="K5" s="110">
        <v>4</v>
      </c>
      <c r="L5" s="110"/>
    </row>
    <row r="6" spans="3:12">
      <c r="C6" s="29" t="s">
        <v>77</v>
      </c>
      <c r="D6" s="111" t="s">
        <v>78</v>
      </c>
      <c r="E6" s="111"/>
      <c r="F6" s="111"/>
      <c r="G6" s="111"/>
      <c r="I6" s="120" t="s">
        <v>79</v>
      </c>
      <c r="J6" s="120"/>
      <c r="K6" s="110" t="s">
        <v>80</v>
      </c>
      <c r="L6" s="110"/>
    </row>
    <row r="9" spans="3:12" ht="13" thickBot="1"/>
    <row r="10" spans="3:12">
      <c r="C10" s="12"/>
      <c r="D10" s="13"/>
      <c r="E10" s="114" t="s">
        <v>39</v>
      </c>
      <c r="F10" s="115"/>
      <c r="G10" s="115"/>
      <c r="H10" s="115"/>
      <c r="I10" s="115"/>
      <c r="J10" s="115"/>
      <c r="K10" s="116"/>
    </row>
    <row r="11" spans="3:12">
      <c r="C11" s="1" t="s">
        <v>40</v>
      </c>
      <c r="D11" s="4"/>
      <c r="E11" s="4" t="s">
        <v>41</v>
      </c>
      <c r="F11" s="4"/>
      <c r="G11" s="80" t="s">
        <v>42</v>
      </c>
      <c r="H11" s="4"/>
      <c r="I11" s="4" t="s">
        <v>43</v>
      </c>
      <c r="J11" s="4"/>
      <c r="K11" s="4" t="s">
        <v>44</v>
      </c>
    </row>
    <row r="12" spans="3:12">
      <c r="C12" s="36"/>
      <c r="E12" s="38">
        <v>0</v>
      </c>
      <c r="G12" s="89">
        <v>0</v>
      </c>
      <c r="I12" s="38">
        <v>0</v>
      </c>
      <c r="K12" s="38">
        <v>0</v>
      </c>
    </row>
    <row r="13" spans="3:12">
      <c r="C13" s="36"/>
      <c r="E13" s="38"/>
      <c r="G13" s="89"/>
      <c r="I13" s="38"/>
      <c r="K13" s="38"/>
    </row>
    <row r="14" spans="3:12">
      <c r="C14" s="36"/>
      <c r="E14" s="38"/>
      <c r="G14" s="89"/>
      <c r="I14" s="38"/>
      <c r="K14" s="38"/>
    </row>
    <row r="15" spans="3:12">
      <c r="C15" s="36"/>
      <c r="E15" s="38"/>
      <c r="G15" s="89"/>
      <c r="I15" s="38"/>
      <c r="K15" s="38"/>
    </row>
    <row r="16" spans="3:12">
      <c r="E16" s="39"/>
      <c r="G16" s="87"/>
      <c r="I16" s="39"/>
      <c r="K16" s="39"/>
    </row>
    <row r="17" spans="3:15">
      <c r="C17" s="42" t="s">
        <v>45</v>
      </c>
      <c r="D17" s="47" t="s">
        <v>46</v>
      </c>
      <c r="E17" s="48">
        <f>SUM(E12:E15)</f>
        <v>0</v>
      </c>
      <c r="F17" s="47" t="s">
        <v>47</v>
      </c>
      <c r="G17" s="97">
        <f>SUM(G12:G15)</f>
        <v>0</v>
      </c>
      <c r="H17" s="47" t="s">
        <v>48</v>
      </c>
      <c r="I17" s="48">
        <f>SUM(I12:I15)</f>
        <v>0</v>
      </c>
      <c r="J17" s="47" t="s">
        <v>49</v>
      </c>
      <c r="K17" s="48">
        <f>SUM(K12:K15)</f>
        <v>0</v>
      </c>
    </row>
    <row r="19" spans="3:15" ht="13" thickBot="1"/>
    <row r="20" spans="3:15">
      <c r="C20" s="12"/>
      <c r="D20" s="13"/>
      <c r="E20" s="114" t="s">
        <v>6</v>
      </c>
      <c r="F20" s="115"/>
      <c r="G20" s="115"/>
      <c r="H20" s="115"/>
      <c r="I20" s="115"/>
      <c r="J20" s="115"/>
      <c r="K20" s="116"/>
    </row>
    <row r="21" spans="3:15">
      <c r="C21" s="1" t="s">
        <v>40</v>
      </c>
      <c r="D21" s="4"/>
      <c r="E21" s="4" t="s">
        <v>41</v>
      </c>
      <c r="F21" s="4"/>
      <c r="G21" s="80" t="s">
        <v>42</v>
      </c>
      <c r="H21" s="4"/>
      <c r="I21" s="4" t="s">
        <v>43</v>
      </c>
      <c r="J21" s="4"/>
      <c r="K21" s="4" t="s">
        <v>44</v>
      </c>
    </row>
    <row r="22" spans="3:15">
      <c r="C22" s="36"/>
      <c r="E22" s="38">
        <v>0</v>
      </c>
      <c r="G22" s="89">
        <v>0</v>
      </c>
      <c r="I22" s="38">
        <v>0</v>
      </c>
      <c r="K22" s="38">
        <v>0</v>
      </c>
    </row>
    <row r="23" spans="3:15">
      <c r="C23" s="36"/>
      <c r="E23" s="38"/>
      <c r="G23" s="89"/>
      <c r="I23" s="38"/>
      <c r="K23" s="38"/>
    </row>
    <row r="24" spans="3:15">
      <c r="C24" s="36"/>
      <c r="E24" s="38"/>
      <c r="G24" s="89"/>
      <c r="I24" s="38"/>
      <c r="K24" s="38"/>
    </row>
    <row r="25" spans="3:15">
      <c r="C25" s="36"/>
      <c r="E25" s="38"/>
      <c r="G25" s="89"/>
      <c r="I25" s="38"/>
      <c r="K25" s="38"/>
    </row>
    <row r="26" spans="3:15">
      <c r="E26" s="39"/>
      <c r="G26" s="87"/>
      <c r="I26" s="39"/>
      <c r="K26" s="39"/>
    </row>
    <row r="27" spans="3:15">
      <c r="C27" s="42" t="s">
        <v>45</v>
      </c>
      <c r="D27" s="47"/>
      <c r="E27" s="48">
        <f>SUM(E22:E25)</f>
        <v>0</v>
      </c>
      <c r="F27" s="45"/>
      <c r="G27" s="97">
        <f>SUM(G22:G25)</f>
        <v>0</v>
      </c>
      <c r="H27" s="45"/>
      <c r="I27" s="48">
        <f>SUM(I22:I25)</f>
        <v>0</v>
      </c>
      <c r="J27" s="45"/>
      <c r="K27" s="48">
        <f>SUM(K22:K25)</f>
        <v>0</v>
      </c>
    </row>
    <row r="28" spans="3:15">
      <c r="C28" s="42"/>
      <c r="D28" s="47"/>
      <c r="E28" s="49"/>
      <c r="F28" s="47"/>
      <c r="G28" s="92"/>
      <c r="H28" s="47"/>
      <c r="I28" s="49"/>
      <c r="J28" s="47"/>
      <c r="K28" s="49"/>
    </row>
    <row r="29" spans="3:15" ht="13" thickBot="1"/>
    <row r="30" spans="3:15">
      <c r="C30" s="12"/>
      <c r="D30" s="13"/>
      <c r="E30" s="114" t="s">
        <v>39</v>
      </c>
      <c r="F30" s="115"/>
      <c r="G30" s="115"/>
      <c r="H30" s="115"/>
      <c r="I30" s="115"/>
      <c r="J30" s="115"/>
      <c r="K30" s="116"/>
      <c r="L30" s="13"/>
      <c r="M30" s="114" t="s">
        <v>6</v>
      </c>
      <c r="N30" s="115"/>
      <c r="O30" s="116"/>
    </row>
    <row r="31" spans="3:15">
      <c r="C31" s="1" t="s">
        <v>50</v>
      </c>
      <c r="D31" s="4"/>
      <c r="E31" s="4" t="s">
        <v>51</v>
      </c>
      <c r="F31" s="4"/>
      <c r="G31" s="80" t="s">
        <v>52</v>
      </c>
      <c r="H31" s="4"/>
      <c r="I31" s="4" t="s">
        <v>53</v>
      </c>
      <c r="J31" s="4"/>
      <c r="K31" s="4" t="s">
        <v>54</v>
      </c>
      <c r="L31" s="4"/>
      <c r="M31" s="4" t="s">
        <v>54</v>
      </c>
      <c r="N31" s="4"/>
      <c r="O31" s="4" t="s">
        <v>52</v>
      </c>
    </row>
    <row r="33" spans="3:15">
      <c r="C33" s="36" t="s">
        <v>101</v>
      </c>
      <c r="E33" s="38" t="s">
        <v>116</v>
      </c>
      <c r="F33" s="39"/>
      <c r="G33" s="89">
        <v>4</v>
      </c>
      <c r="H33" s="39"/>
      <c r="I33" s="38" t="s">
        <v>112</v>
      </c>
      <c r="K33" s="38">
        <f>G33*E85</f>
        <v>19.16</v>
      </c>
      <c r="L33" s="39"/>
      <c r="M33" s="38">
        <v>23</v>
      </c>
      <c r="N33" s="39"/>
      <c r="O33" s="38">
        <v>5</v>
      </c>
    </row>
    <row r="34" spans="3:15">
      <c r="C34" s="36" t="s">
        <v>102</v>
      </c>
      <c r="E34" s="38" t="s">
        <v>115</v>
      </c>
      <c r="F34" s="39"/>
      <c r="G34" s="89">
        <v>1</v>
      </c>
      <c r="H34" s="39"/>
      <c r="I34" s="38" t="s">
        <v>48</v>
      </c>
      <c r="K34" s="38">
        <f>G34*F84</f>
        <v>11.25</v>
      </c>
      <c r="L34" s="39"/>
      <c r="M34" s="38">
        <v>15</v>
      </c>
      <c r="N34" s="39"/>
      <c r="O34" s="38">
        <v>1</v>
      </c>
    </row>
    <row r="35" spans="3:15">
      <c r="C35" s="40" t="s">
        <v>106</v>
      </c>
      <c r="E35" s="38" t="s">
        <v>117</v>
      </c>
      <c r="F35" s="39"/>
      <c r="G35" s="89">
        <v>2</v>
      </c>
      <c r="H35" s="39"/>
      <c r="I35" s="38" t="s">
        <v>48</v>
      </c>
      <c r="K35" s="38">
        <f>G35*F86</f>
        <v>32.299999999999997</v>
      </c>
      <c r="L35" s="39"/>
      <c r="M35" s="38">
        <v>51</v>
      </c>
      <c r="N35" s="39"/>
      <c r="O35" s="38">
        <v>2</v>
      </c>
    </row>
    <row r="36" spans="3:15" ht="15" customHeight="1">
      <c r="C36" s="41" t="s">
        <v>107</v>
      </c>
      <c r="E36" s="38" t="s">
        <v>117</v>
      </c>
      <c r="F36" s="39"/>
      <c r="G36" s="89">
        <v>3</v>
      </c>
      <c r="H36" s="39"/>
      <c r="I36" s="38" t="s">
        <v>113</v>
      </c>
      <c r="K36" s="38">
        <f>G36*G86</f>
        <v>64.86</v>
      </c>
      <c r="L36" s="39"/>
      <c r="M36" s="38">
        <v>63</v>
      </c>
      <c r="N36" s="39"/>
      <c r="O36" s="38">
        <v>2</v>
      </c>
    </row>
    <row r="37" spans="3:15">
      <c r="C37" s="40" t="s">
        <v>108</v>
      </c>
      <c r="E37" s="38" t="s">
        <v>123</v>
      </c>
      <c r="F37" s="39"/>
      <c r="G37" s="89">
        <v>1</v>
      </c>
      <c r="H37" s="39"/>
      <c r="I37" s="38" t="s">
        <v>112</v>
      </c>
      <c r="K37" s="38">
        <f>G37*E88</f>
        <v>5.04</v>
      </c>
      <c r="L37" s="39"/>
      <c r="M37" s="38">
        <v>24</v>
      </c>
      <c r="N37" s="39"/>
      <c r="O37" s="38">
        <v>1</v>
      </c>
    </row>
    <row r="38" spans="3:15" ht="24">
      <c r="C38" s="58" t="s">
        <v>128</v>
      </c>
      <c r="E38" s="38" t="s">
        <v>115</v>
      </c>
      <c r="F38" s="39"/>
      <c r="G38" s="89">
        <v>2</v>
      </c>
      <c r="H38" s="39"/>
      <c r="I38" s="38" t="s">
        <v>48</v>
      </c>
      <c r="K38" s="38">
        <f>F84</f>
        <v>11.25</v>
      </c>
      <c r="L38" s="39"/>
      <c r="M38" s="38">
        <v>13</v>
      </c>
      <c r="N38" s="39"/>
      <c r="O38" s="38">
        <v>2</v>
      </c>
    </row>
    <row r="39" spans="3:15">
      <c r="C39" s="36"/>
      <c r="E39" s="38"/>
      <c r="F39" s="39"/>
      <c r="G39" s="89"/>
      <c r="H39" s="39"/>
      <c r="I39" s="38"/>
      <c r="K39" s="38"/>
      <c r="L39" s="39"/>
      <c r="M39" s="38"/>
      <c r="N39" s="39"/>
      <c r="O39" s="38"/>
    </row>
    <row r="40" spans="3:15">
      <c r="C40" s="36"/>
      <c r="E40" s="38"/>
      <c r="F40" s="39"/>
      <c r="G40" s="89"/>
      <c r="H40" s="39"/>
      <c r="I40" s="38"/>
      <c r="K40" s="38"/>
      <c r="L40" s="39"/>
      <c r="M40" s="38"/>
      <c r="N40" s="39"/>
      <c r="O40" s="38"/>
    </row>
    <row r="41" spans="3:15">
      <c r="C41" s="36"/>
      <c r="E41" s="38"/>
      <c r="F41" s="39"/>
      <c r="G41" s="89"/>
      <c r="H41" s="39"/>
      <c r="I41" s="38"/>
      <c r="K41" s="38"/>
      <c r="L41" s="39"/>
      <c r="M41" s="38"/>
      <c r="N41" s="39"/>
      <c r="O41" s="38"/>
    </row>
    <row r="42" spans="3:15">
      <c r="C42" s="36"/>
      <c r="E42" s="38"/>
      <c r="F42" s="39"/>
      <c r="G42" s="89"/>
      <c r="H42" s="39"/>
      <c r="I42" s="38"/>
      <c r="K42" s="38"/>
      <c r="L42" s="39"/>
      <c r="M42" s="38"/>
      <c r="N42" s="39"/>
      <c r="O42" s="38"/>
    </row>
    <row r="43" spans="3:15">
      <c r="C43" s="36"/>
      <c r="E43" s="38"/>
      <c r="F43" s="39"/>
      <c r="G43" s="89"/>
      <c r="H43" s="39"/>
      <c r="I43" s="38"/>
      <c r="K43" s="38"/>
      <c r="L43" s="39"/>
      <c r="M43" s="38"/>
      <c r="N43" s="39"/>
      <c r="O43" s="38"/>
    </row>
    <row r="44" spans="3:15">
      <c r="C44" s="42" t="s">
        <v>45</v>
      </c>
      <c r="J44" s="43" t="s">
        <v>55</v>
      </c>
      <c r="K44" s="44">
        <f>SUM(K33:K43)</f>
        <v>143.85999999999999</v>
      </c>
      <c r="L44" s="45"/>
      <c r="M44" s="44">
        <f>SUM(M33:M43)</f>
        <v>189</v>
      </c>
      <c r="N44" s="45"/>
      <c r="O44" s="44">
        <f>SUM(O33:O42)</f>
        <v>13</v>
      </c>
    </row>
    <row r="45" spans="3:15">
      <c r="K45" s="50"/>
      <c r="L45" s="50"/>
      <c r="M45" s="50"/>
      <c r="N45" s="50"/>
      <c r="O45" s="50"/>
    </row>
    <row r="46" spans="3:15" ht="13" thickBot="1"/>
    <row r="47" spans="3:15">
      <c r="C47" s="14"/>
      <c r="D47" s="15"/>
      <c r="E47" s="20" t="s">
        <v>39</v>
      </c>
      <c r="F47" s="15"/>
      <c r="G47" s="98" t="s">
        <v>6</v>
      </c>
    </row>
    <row r="48" spans="3:15">
      <c r="C48" s="1" t="s">
        <v>56</v>
      </c>
      <c r="D48" s="1"/>
      <c r="E48" s="4" t="s">
        <v>57</v>
      </c>
      <c r="F48" s="4"/>
      <c r="G48" s="80" t="s">
        <v>57</v>
      </c>
    </row>
    <row r="50" spans="3:8">
      <c r="C50" s="36" t="s">
        <v>98</v>
      </c>
      <c r="E50" s="38">
        <v>43</v>
      </c>
      <c r="G50" s="79">
        <v>57</v>
      </c>
    </row>
    <row r="51" spans="3:8">
      <c r="C51" s="36" t="s">
        <v>99</v>
      </c>
      <c r="E51" s="38">
        <v>51</v>
      </c>
      <c r="G51" s="79">
        <v>51</v>
      </c>
    </row>
    <row r="52" spans="3:8">
      <c r="C52" s="36" t="s">
        <v>100</v>
      </c>
      <c r="E52" s="38">
        <v>25</v>
      </c>
      <c r="G52" s="79">
        <v>25</v>
      </c>
    </row>
    <row r="53" spans="3:8">
      <c r="C53" s="36" t="s">
        <v>105</v>
      </c>
      <c r="E53" s="38">
        <v>21</v>
      </c>
      <c r="G53" s="79">
        <v>21</v>
      </c>
    </row>
    <row r="54" spans="3:8">
      <c r="E54" s="36"/>
      <c r="G54" s="79"/>
    </row>
    <row r="55" spans="3:8">
      <c r="C55" s="36"/>
      <c r="E55" s="36"/>
      <c r="G55" s="79"/>
    </row>
    <row r="56" spans="3:8">
      <c r="C56" s="36"/>
      <c r="E56" s="36"/>
      <c r="G56" s="79"/>
    </row>
    <row r="57" spans="3:8">
      <c r="C57" s="36"/>
      <c r="E57" s="36"/>
      <c r="G57" s="79"/>
    </row>
    <row r="59" spans="3:8">
      <c r="C59" s="42" t="s">
        <v>45</v>
      </c>
      <c r="D59" s="43" t="s">
        <v>58</v>
      </c>
      <c r="E59" s="48">
        <f>SUM(E50:E57)</f>
        <v>140</v>
      </c>
      <c r="F59" s="50"/>
      <c r="G59" s="99">
        <f>SUM(G50:G57)</f>
        <v>154</v>
      </c>
      <c r="H59" s="50"/>
    </row>
    <row r="62" spans="3:8" ht="25.5" customHeight="1">
      <c r="C62" s="46" t="s">
        <v>59</v>
      </c>
      <c r="D62" s="6"/>
      <c r="E62" s="5" t="s">
        <v>57</v>
      </c>
      <c r="F62" s="6"/>
      <c r="G62" s="76" t="s">
        <v>60</v>
      </c>
    </row>
    <row r="63" spans="3:8" ht="26.25" customHeight="1" thickBot="1">
      <c r="C63" s="18" t="s">
        <v>61</v>
      </c>
      <c r="D63" s="2"/>
      <c r="E63" s="17">
        <f>K17+K44</f>
        <v>143.85999999999999</v>
      </c>
      <c r="F63" s="16"/>
      <c r="G63" s="100"/>
    </row>
    <row r="64" spans="3:8" ht="13" thickBot="1">
      <c r="C64" s="18" t="s">
        <v>62</v>
      </c>
      <c r="D64" s="2"/>
      <c r="E64" s="17">
        <f>E63+I27</f>
        <v>143.85999999999999</v>
      </c>
      <c r="F64" s="16"/>
      <c r="G64" s="100"/>
    </row>
    <row r="65" spans="3:7" ht="13" thickBot="1">
      <c r="C65" s="18" t="s">
        <v>63</v>
      </c>
      <c r="D65" s="2"/>
      <c r="E65" s="17" t="s">
        <v>129</v>
      </c>
      <c r="F65" s="2"/>
      <c r="G65" s="60" t="s">
        <v>129</v>
      </c>
    </row>
    <row r="66" spans="3:7" ht="13" thickBot="1">
      <c r="C66" s="18" t="s">
        <v>64</v>
      </c>
      <c r="D66" s="2"/>
      <c r="E66" s="17" t="s">
        <v>130</v>
      </c>
      <c r="F66" s="2"/>
      <c r="G66" s="60" t="s">
        <v>130</v>
      </c>
    </row>
    <row r="67" spans="3:7" ht="25" thickBot="1">
      <c r="C67" s="18" t="s">
        <v>124</v>
      </c>
      <c r="D67" s="2"/>
      <c r="E67" s="17">
        <v>0</v>
      </c>
      <c r="F67" s="16"/>
      <c r="G67" s="60">
        <v>0</v>
      </c>
    </row>
    <row r="68" spans="3:7" ht="25" thickBot="1">
      <c r="C68" s="18" t="s">
        <v>125</v>
      </c>
      <c r="D68" s="2"/>
      <c r="E68" s="60">
        <f>'Probe - Times'!D10</f>
        <v>1.5031512605042017</v>
      </c>
      <c r="F68" s="2"/>
      <c r="G68" s="60">
        <f>'Probe - Sizes'!D10</f>
        <v>1.162962962962963</v>
      </c>
    </row>
    <row r="69" spans="3:7" ht="25" thickBot="1">
      <c r="C69" s="18" t="s">
        <v>126</v>
      </c>
      <c r="D69" s="2"/>
      <c r="E69" s="60">
        <f>E67+E68*E64</f>
        <v>216.24334033613442</v>
      </c>
      <c r="F69" s="2"/>
      <c r="G69" s="83"/>
    </row>
    <row r="70" spans="3:7" ht="25" thickBot="1">
      <c r="C70" s="18" t="s">
        <v>65</v>
      </c>
      <c r="D70" s="2"/>
      <c r="E70" s="60">
        <f>E69+E17-G17-I17+E59</f>
        <v>356.24334033613445</v>
      </c>
      <c r="F70" s="2"/>
      <c r="G70" s="83"/>
    </row>
    <row r="71" spans="3:7" ht="25" thickBot="1">
      <c r="C71" s="18" t="s">
        <v>66</v>
      </c>
      <c r="D71" s="2"/>
      <c r="E71" s="17">
        <f>K38</f>
        <v>11.25</v>
      </c>
      <c r="F71" s="2"/>
      <c r="G71" s="83"/>
    </row>
    <row r="72" spans="3:7" ht="25" thickBot="1">
      <c r="C72" s="18" t="s">
        <v>127</v>
      </c>
      <c r="D72" s="2"/>
      <c r="E72" s="2"/>
      <c r="F72" s="2"/>
      <c r="G72" s="60">
        <f>G67+G68*E64</f>
        <v>167.30385185185185</v>
      </c>
    </row>
    <row r="73" spans="3:7" ht="25" thickBot="1">
      <c r="C73" s="18" t="s">
        <v>67</v>
      </c>
      <c r="D73" s="2"/>
      <c r="E73" s="17" t="s">
        <v>141</v>
      </c>
      <c r="F73" s="2"/>
      <c r="G73" s="60">
        <f>G72-'LOC_X_HORA - Rango'!F10</f>
        <v>164.68656775314119</v>
      </c>
    </row>
    <row r="74" spans="3:7" ht="25" thickBot="1">
      <c r="C74" s="18" t="s">
        <v>68</v>
      </c>
      <c r="D74" s="2"/>
      <c r="E74" s="17" t="s">
        <v>141</v>
      </c>
      <c r="F74" s="2"/>
      <c r="G74" s="60">
        <f>G72+G73</f>
        <v>331.99041960499301</v>
      </c>
    </row>
    <row r="75" spans="3:7" ht="25" thickBot="1">
      <c r="C75" s="18" t="s">
        <v>69</v>
      </c>
      <c r="D75" s="2"/>
      <c r="E75" s="17" t="s">
        <v>141</v>
      </c>
      <c r="F75" s="2"/>
      <c r="G75" s="60">
        <f>G72-G73</f>
        <v>2.6172840987106554</v>
      </c>
    </row>
    <row r="76" spans="3:7" ht="13" thickBot="1">
      <c r="C76" s="18" t="s">
        <v>70</v>
      </c>
      <c r="D76" s="2"/>
      <c r="E76" s="17" t="s">
        <v>141</v>
      </c>
      <c r="F76" s="2"/>
      <c r="G76" s="60">
        <v>90</v>
      </c>
    </row>
    <row r="77" spans="3:7">
      <c r="C77" s="51"/>
    </row>
    <row r="78" spans="3:7">
      <c r="C78" s="51"/>
    </row>
    <row r="79" spans="3:7">
      <c r="C79" s="51" t="s">
        <v>122</v>
      </c>
    </row>
    <row r="80" spans="3:7">
      <c r="C80" s="51" t="s">
        <v>121</v>
      </c>
    </row>
    <row r="81" spans="3:8" ht="13" thickBot="1">
      <c r="C81" s="51"/>
    </row>
    <row r="82" spans="3:8" ht="13" thickBot="1">
      <c r="C82" s="118" t="s">
        <v>109</v>
      </c>
      <c r="D82" s="119"/>
      <c r="E82" s="119"/>
      <c r="F82" s="52"/>
      <c r="G82" s="101"/>
      <c r="H82" s="53"/>
    </row>
    <row r="83" spans="3:8" ht="13" thickBot="1">
      <c r="C83" s="54" t="s">
        <v>110</v>
      </c>
      <c r="D83" s="55" t="s">
        <v>111</v>
      </c>
      <c r="E83" s="55" t="s">
        <v>112</v>
      </c>
      <c r="F83" s="55" t="s">
        <v>48</v>
      </c>
      <c r="G83" s="102" t="s">
        <v>113</v>
      </c>
      <c r="H83" s="55" t="s">
        <v>114</v>
      </c>
    </row>
    <row r="84" spans="3:8" ht="13" thickBot="1">
      <c r="C84" s="56" t="s">
        <v>115</v>
      </c>
      <c r="D84" s="57">
        <v>2.34</v>
      </c>
      <c r="E84" s="57">
        <v>5.13</v>
      </c>
      <c r="F84" s="57">
        <v>11.25</v>
      </c>
      <c r="G84" s="103">
        <v>24.66</v>
      </c>
      <c r="H84" s="57">
        <v>54.04</v>
      </c>
    </row>
    <row r="85" spans="3:8" ht="13" thickBot="1">
      <c r="C85" s="56" t="s">
        <v>116</v>
      </c>
      <c r="D85" s="57">
        <v>2.6</v>
      </c>
      <c r="E85" s="57">
        <v>4.79</v>
      </c>
      <c r="F85" s="57">
        <v>8.84</v>
      </c>
      <c r="G85" s="103">
        <v>16.309999999999999</v>
      </c>
      <c r="H85" s="57">
        <v>30.09</v>
      </c>
    </row>
    <row r="86" spans="3:8" ht="13" thickBot="1">
      <c r="C86" s="56" t="s">
        <v>117</v>
      </c>
      <c r="D86" s="57">
        <v>9.01</v>
      </c>
      <c r="E86" s="57">
        <v>12.06</v>
      </c>
      <c r="F86" s="57">
        <v>16.149999999999999</v>
      </c>
      <c r="G86" s="103">
        <v>21.62</v>
      </c>
      <c r="H86" s="57">
        <v>28.93</v>
      </c>
    </row>
    <row r="87" spans="3:8" ht="13" thickBot="1">
      <c r="C87" s="56" t="s">
        <v>118</v>
      </c>
      <c r="D87" s="57">
        <v>7.55</v>
      </c>
      <c r="E87" s="57">
        <v>10.98</v>
      </c>
      <c r="F87" s="57">
        <v>15.98</v>
      </c>
      <c r="G87" s="103">
        <v>23.25</v>
      </c>
      <c r="H87" s="57">
        <v>33.83</v>
      </c>
    </row>
    <row r="88" spans="3:8" ht="13" thickBot="1">
      <c r="C88" s="56" t="s">
        <v>119</v>
      </c>
      <c r="D88" s="57">
        <v>3.88</v>
      </c>
      <c r="E88" s="57">
        <v>5.04</v>
      </c>
      <c r="F88" s="57">
        <v>6.56</v>
      </c>
      <c r="G88" s="103">
        <v>8.5299999999999994</v>
      </c>
      <c r="H88" s="57">
        <v>11.09</v>
      </c>
    </row>
    <row r="89" spans="3:8" ht="13" thickBot="1">
      <c r="C89" s="56" t="s">
        <v>120</v>
      </c>
      <c r="D89" s="57">
        <v>3.75</v>
      </c>
      <c r="E89" s="57">
        <v>8</v>
      </c>
      <c r="F89" s="57">
        <v>17.07</v>
      </c>
      <c r="G89" s="103">
        <v>36.409999999999997</v>
      </c>
      <c r="H89" s="57">
        <v>77.66</v>
      </c>
    </row>
  </sheetData>
  <mergeCells count="15">
    <mergeCell ref="M30:O30"/>
    <mergeCell ref="C2:L2"/>
    <mergeCell ref="C82:E82"/>
    <mergeCell ref="I6:J6"/>
    <mergeCell ref="K4:L4"/>
    <mergeCell ref="K5:L5"/>
    <mergeCell ref="K6:L6"/>
    <mergeCell ref="D4:G4"/>
    <mergeCell ref="D5:G5"/>
    <mergeCell ref="D6:G6"/>
    <mergeCell ref="I4:J4"/>
    <mergeCell ref="I5:J5"/>
    <mergeCell ref="E10:K10"/>
    <mergeCell ref="E20:K20"/>
    <mergeCell ref="E30:K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topLeftCell="A4" workbookViewId="0">
      <selection activeCell="G18" sqref="G18"/>
    </sheetView>
  </sheetViews>
  <sheetFormatPr baseColWidth="10" defaultRowHeight="14" x14ac:dyDescent="0"/>
  <cols>
    <col min="3" max="3" width="42.5" bestFit="1" customWidth="1"/>
    <col min="4" max="4" width="19.5" bestFit="1" customWidth="1"/>
    <col min="5" max="5" width="15.6640625" bestFit="1" customWidth="1"/>
    <col min="6" max="6" width="19.6640625" bestFit="1" customWidth="1"/>
    <col min="8" max="8" width="40.1640625" customWidth="1"/>
  </cols>
  <sheetData>
    <row r="4" spans="2:10">
      <c r="B4" s="112" t="s">
        <v>71</v>
      </c>
      <c r="C4" s="112"/>
      <c r="D4" s="112"/>
      <c r="E4" s="112"/>
      <c r="F4" s="112"/>
      <c r="G4" s="112"/>
      <c r="H4" s="112"/>
    </row>
    <row r="5" spans="2:10">
      <c r="H5" s="19"/>
      <c r="I5" s="19"/>
      <c r="J5" s="19"/>
    </row>
    <row r="6" spans="2:10">
      <c r="B6" s="1" t="s">
        <v>72</v>
      </c>
      <c r="C6" s="125" t="s">
        <v>73</v>
      </c>
      <c r="D6" s="125"/>
      <c r="E6" s="125"/>
      <c r="F6" s="22"/>
      <c r="G6" s="1" t="s">
        <v>74</v>
      </c>
      <c r="H6" s="25">
        <v>41320</v>
      </c>
      <c r="I6" s="26"/>
      <c r="J6" s="26"/>
    </row>
    <row r="7" spans="2:10" ht="24.75" customHeight="1">
      <c r="B7" s="1" t="s">
        <v>75</v>
      </c>
      <c r="C7" s="125" t="s">
        <v>89</v>
      </c>
      <c r="D7" s="125"/>
      <c r="E7" s="125"/>
      <c r="F7" s="23"/>
      <c r="G7" s="1" t="s">
        <v>76</v>
      </c>
      <c r="H7" s="24">
        <v>4</v>
      </c>
      <c r="I7" s="27"/>
      <c r="J7" s="27"/>
    </row>
    <row r="8" spans="2:10">
      <c r="B8" s="1" t="s">
        <v>77</v>
      </c>
      <c r="C8" s="125" t="s">
        <v>78</v>
      </c>
      <c r="D8" s="125"/>
      <c r="E8" s="125"/>
      <c r="F8" s="23"/>
      <c r="G8" s="1" t="s">
        <v>79</v>
      </c>
      <c r="H8" s="24" t="s">
        <v>80</v>
      </c>
      <c r="I8" s="27"/>
      <c r="J8" s="27"/>
    </row>
    <row r="10" spans="2:10" ht="15" customHeight="1">
      <c r="B10" s="122" t="s">
        <v>81</v>
      </c>
      <c r="C10" s="122" t="s">
        <v>82</v>
      </c>
      <c r="D10" s="122" t="s">
        <v>83</v>
      </c>
      <c r="E10" s="122" t="s">
        <v>84</v>
      </c>
      <c r="F10" s="123" t="s">
        <v>85</v>
      </c>
      <c r="G10" s="123" t="s">
        <v>87</v>
      </c>
      <c r="H10" s="122" t="s">
        <v>86</v>
      </c>
    </row>
    <row r="11" spans="2:10">
      <c r="B11" s="122"/>
      <c r="C11" s="122"/>
      <c r="D11" s="122"/>
      <c r="E11" s="122"/>
      <c r="F11" s="124"/>
      <c r="G11" s="124"/>
      <c r="H11" s="122"/>
    </row>
    <row r="12" spans="2:10">
      <c r="B12" s="31" t="s">
        <v>90</v>
      </c>
      <c r="C12" s="31" t="s">
        <v>91</v>
      </c>
      <c r="D12" s="32">
        <v>41321.875</v>
      </c>
      <c r="E12" s="32" t="s">
        <v>92</v>
      </c>
      <c r="F12" s="32">
        <v>41321.895833333336</v>
      </c>
      <c r="G12" s="31" t="s">
        <v>93</v>
      </c>
      <c r="H12" s="31" t="s">
        <v>94</v>
      </c>
    </row>
    <row r="13" spans="2:10" ht="25">
      <c r="B13" s="31" t="s">
        <v>90</v>
      </c>
      <c r="C13" s="31" t="s">
        <v>95</v>
      </c>
      <c r="D13" s="32">
        <v>41321.895833333336</v>
      </c>
      <c r="E13" s="31" t="s">
        <v>97</v>
      </c>
      <c r="F13" s="32">
        <v>41321.9375</v>
      </c>
      <c r="G13" s="31" t="s">
        <v>104</v>
      </c>
      <c r="H13" s="33" t="s">
        <v>96</v>
      </c>
    </row>
    <row r="14" spans="2:10" ht="25">
      <c r="B14" s="31" t="s">
        <v>90</v>
      </c>
      <c r="C14" s="31" t="s">
        <v>139</v>
      </c>
      <c r="D14" s="32">
        <v>41321.958333333336</v>
      </c>
      <c r="E14" s="31" t="s">
        <v>97</v>
      </c>
      <c r="F14" s="32">
        <v>41322.041666666664</v>
      </c>
      <c r="G14" s="31" t="s">
        <v>156</v>
      </c>
      <c r="H14" s="82" t="s">
        <v>140</v>
      </c>
    </row>
    <row r="15" spans="2:10" ht="25">
      <c r="B15" s="31" t="s">
        <v>90</v>
      </c>
      <c r="C15" s="31" t="s">
        <v>157</v>
      </c>
      <c r="D15" s="32">
        <v>41322.333333333336</v>
      </c>
      <c r="E15" s="31" t="s">
        <v>97</v>
      </c>
      <c r="F15" s="32">
        <v>41322.4375</v>
      </c>
      <c r="G15" s="31" t="s">
        <v>158</v>
      </c>
      <c r="H15" s="82" t="s">
        <v>159</v>
      </c>
    </row>
    <row r="16" spans="2:10">
      <c r="B16" s="31" t="s">
        <v>90</v>
      </c>
      <c r="C16" s="31" t="s">
        <v>160</v>
      </c>
      <c r="D16" s="32">
        <v>41322.842361111114</v>
      </c>
      <c r="E16" s="31" t="s">
        <v>97</v>
      </c>
      <c r="F16" s="32">
        <v>41322.945833333331</v>
      </c>
      <c r="G16" s="31" t="s">
        <v>162</v>
      </c>
      <c r="H16" s="31" t="s">
        <v>161</v>
      </c>
    </row>
    <row r="17" spans="2:8" ht="37">
      <c r="B17" s="31" t="s">
        <v>90</v>
      </c>
      <c r="C17" s="31" t="s">
        <v>164</v>
      </c>
      <c r="D17" s="32">
        <v>41322.842361111114</v>
      </c>
      <c r="E17" s="31" t="s">
        <v>97</v>
      </c>
      <c r="F17" s="32">
        <v>41322.945833333331</v>
      </c>
      <c r="G17" s="31" t="s">
        <v>165</v>
      </c>
      <c r="H17" s="82" t="s">
        <v>163</v>
      </c>
    </row>
    <row r="18" spans="2:8">
      <c r="B18" s="31"/>
      <c r="C18" s="31"/>
      <c r="D18" s="31"/>
      <c r="E18" s="31"/>
      <c r="F18" s="31"/>
      <c r="G18" s="31"/>
      <c r="H18" s="31"/>
    </row>
    <row r="19" spans="2:8">
      <c r="B19" s="21"/>
      <c r="C19" s="21"/>
      <c r="D19" s="21"/>
      <c r="E19" s="21"/>
      <c r="F19" s="21"/>
      <c r="G19" s="21"/>
      <c r="H19" s="21"/>
    </row>
    <row r="20" spans="2:8">
      <c r="B20" s="21"/>
      <c r="C20" s="21"/>
      <c r="D20" s="21"/>
      <c r="E20" s="21"/>
      <c r="F20" s="21"/>
      <c r="G20" s="21"/>
      <c r="H20" s="21"/>
    </row>
    <row r="21" spans="2:8">
      <c r="B21" s="21"/>
      <c r="C21" s="21"/>
      <c r="D21" s="21"/>
      <c r="E21" s="21"/>
      <c r="F21" s="21"/>
      <c r="G21" s="21"/>
      <c r="H21" s="21"/>
    </row>
    <row r="22" spans="2:8">
      <c r="B22" s="21"/>
      <c r="C22" s="21"/>
      <c r="D22" s="21"/>
      <c r="E22" s="21"/>
      <c r="F22" s="21"/>
      <c r="G22" s="21"/>
      <c r="H22" s="21"/>
    </row>
    <row r="23" spans="2:8">
      <c r="B23" s="21"/>
      <c r="C23" s="21"/>
      <c r="D23" s="21"/>
      <c r="E23" s="21"/>
      <c r="F23" s="21"/>
      <c r="G23" s="21"/>
      <c r="H23" s="21"/>
    </row>
    <row r="24" spans="2:8">
      <c r="B24" s="21"/>
      <c r="C24" s="21"/>
      <c r="D24" s="21"/>
      <c r="E24" s="21"/>
      <c r="F24" s="21"/>
      <c r="G24" s="21"/>
      <c r="H24" s="21"/>
    </row>
    <row r="25" spans="2:8">
      <c r="B25" s="21"/>
      <c r="C25" s="21"/>
      <c r="D25" s="21"/>
      <c r="E25" s="21"/>
      <c r="F25" s="21"/>
      <c r="G25" s="21"/>
      <c r="H25" s="21"/>
    </row>
    <row r="26" spans="2:8">
      <c r="B26" s="21"/>
      <c r="C26" s="21"/>
      <c r="D26" s="21"/>
      <c r="E26" s="21"/>
      <c r="F26" s="21"/>
      <c r="G26" s="21"/>
      <c r="H26" s="21"/>
    </row>
    <row r="27" spans="2:8">
      <c r="B27" s="21"/>
      <c r="C27" s="21"/>
      <c r="D27" s="21"/>
      <c r="E27" s="21"/>
      <c r="F27" s="21"/>
      <c r="G27" s="21"/>
      <c r="H27" s="21"/>
    </row>
    <row r="28" spans="2:8">
      <c r="B28" s="21"/>
      <c r="C28" s="21"/>
      <c r="D28" s="21"/>
      <c r="E28" s="21"/>
      <c r="F28" s="21"/>
      <c r="G28" s="21"/>
      <c r="H28" s="21"/>
    </row>
    <row r="29" spans="2:8">
      <c r="B29" s="21"/>
      <c r="C29" s="21"/>
      <c r="D29" s="21"/>
      <c r="E29" s="21"/>
      <c r="F29" s="21"/>
      <c r="G29" s="21"/>
      <c r="H29" s="21"/>
    </row>
    <row r="30" spans="2:8">
      <c r="B30" s="21"/>
      <c r="C30" s="21"/>
      <c r="D30" s="21"/>
      <c r="E30" s="21"/>
      <c r="F30" s="21"/>
      <c r="G30" s="21"/>
      <c r="H30" s="21"/>
    </row>
  </sheetData>
  <mergeCells count="11">
    <mergeCell ref="B4:H4"/>
    <mergeCell ref="B10:B11"/>
    <mergeCell ref="C10:C11"/>
    <mergeCell ref="D10:D11"/>
    <mergeCell ref="E10:E11"/>
    <mergeCell ref="G10:G11"/>
    <mergeCell ref="H10:H11"/>
    <mergeCell ref="F10:F11"/>
    <mergeCell ref="C6:E6"/>
    <mergeCell ref="C7:E7"/>
    <mergeCell ref="C8:E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topLeftCell="B1" workbookViewId="0">
      <selection activeCell="H3" sqref="H3"/>
    </sheetView>
  </sheetViews>
  <sheetFormatPr baseColWidth="10" defaultRowHeight="14" x14ac:dyDescent="0"/>
  <cols>
    <col min="2" max="2" width="27.1640625" bestFit="1" customWidth="1"/>
    <col min="3" max="3" width="42.6640625" bestFit="1" customWidth="1"/>
  </cols>
  <sheetData>
    <row r="3" spans="2:10" ht="15">
      <c r="B3" s="59" t="s">
        <v>131</v>
      </c>
      <c r="H3" t="s">
        <v>6</v>
      </c>
    </row>
    <row r="4" spans="2:10">
      <c r="C4" s="35"/>
      <c r="D4" s="63" t="s">
        <v>134</v>
      </c>
      <c r="E4" s="63" t="s">
        <v>135</v>
      </c>
      <c r="F4" s="63" t="s">
        <v>136</v>
      </c>
      <c r="G4" s="63" t="s">
        <v>90</v>
      </c>
      <c r="H4" s="63" t="s">
        <v>169</v>
      </c>
      <c r="I4" s="63" t="s">
        <v>45</v>
      </c>
      <c r="J4" s="35"/>
    </row>
    <row r="5" spans="2:10" ht="15">
      <c r="B5" s="34" t="s">
        <v>168</v>
      </c>
      <c r="C5" s="35"/>
      <c r="D5" s="35"/>
      <c r="E5" s="35"/>
      <c r="F5" s="35"/>
      <c r="G5" s="35"/>
      <c r="H5" s="35"/>
      <c r="I5" s="35"/>
      <c r="J5" s="35"/>
    </row>
    <row r="6" spans="2:10">
      <c r="C6" s="63" t="s">
        <v>166</v>
      </c>
      <c r="D6" s="30">
        <v>0</v>
      </c>
      <c r="E6" s="30">
        <v>611</v>
      </c>
      <c r="F6" s="30">
        <v>480</v>
      </c>
      <c r="G6" s="30">
        <v>340</v>
      </c>
      <c r="H6" s="30"/>
      <c r="I6" s="30">
        <f>SUM(D6:G6)</f>
        <v>1431</v>
      </c>
      <c r="J6" s="35"/>
    </row>
    <row r="7" spans="2:10">
      <c r="C7" s="63" t="s">
        <v>167</v>
      </c>
      <c r="D7" s="30">
        <v>0</v>
      </c>
      <c r="E7" s="30">
        <v>312</v>
      </c>
      <c r="F7" s="30">
        <v>320</v>
      </c>
      <c r="G7" s="30">
        <v>320</v>
      </c>
      <c r="H7" s="30"/>
      <c r="I7" s="30">
        <f>SUM(D7:G7)</f>
        <v>952</v>
      </c>
      <c r="J7" s="35"/>
    </row>
    <row r="8" spans="2:10">
      <c r="C8" s="35"/>
      <c r="D8" s="35"/>
      <c r="E8" s="35"/>
      <c r="F8" s="35"/>
      <c r="G8" s="35"/>
      <c r="H8" s="35"/>
      <c r="I8" s="35"/>
      <c r="J8" s="35"/>
    </row>
    <row r="9" spans="2:10">
      <c r="C9" s="61" t="s">
        <v>138</v>
      </c>
      <c r="D9" s="30">
        <v>0</v>
      </c>
      <c r="E9" s="35"/>
      <c r="F9" s="35"/>
      <c r="G9" s="35"/>
      <c r="H9" s="35"/>
      <c r="I9" s="35"/>
      <c r="J9" s="35"/>
    </row>
    <row r="10" spans="2:10" ht="27">
      <c r="C10" s="61" t="s">
        <v>137</v>
      </c>
      <c r="D10" s="62">
        <f>I6/I7</f>
        <v>1.5031512605042017</v>
      </c>
      <c r="E10" s="35"/>
      <c r="F10" s="35"/>
      <c r="G10" s="35"/>
      <c r="H10" s="35"/>
      <c r="I10" s="35"/>
      <c r="J10" s="35"/>
    </row>
    <row r="11" spans="2:10">
      <c r="C11" s="35"/>
      <c r="D11" s="35"/>
      <c r="E11" s="35"/>
      <c r="F11" s="35"/>
      <c r="G11" s="35"/>
      <c r="H11" s="35"/>
      <c r="I11" s="35"/>
      <c r="J11" s="35"/>
    </row>
    <row r="12" spans="2:10">
      <c r="D12" s="37"/>
      <c r="E12" s="37"/>
      <c r="F12" s="37"/>
      <c r="G12" s="37"/>
      <c r="H12" s="37"/>
      <c r="I12" s="37"/>
    </row>
    <row r="23" ht="14.25" customHeight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tabSelected="1" topLeftCell="B1" workbookViewId="0">
      <selection activeCell="H3" sqref="H3"/>
    </sheetView>
  </sheetViews>
  <sheetFormatPr baseColWidth="10" defaultRowHeight="14" x14ac:dyDescent="0"/>
  <cols>
    <col min="2" max="2" width="27.1640625" bestFit="1" customWidth="1"/>
    <col min="3" max="3" width="42.6640625" bestFit="1" customWidth="1"/>
  </cols>
  <sheetData>
    <row r="3" spans="2:11" ht="15">
      <c r="B3" s="59" t="s">
        <v>131</v>
      </c>
      <c r="H3" t="s">
        <v>6</v>
      </c>
    </row>
    <row r="4" spans="2:11">
      <c r="C4" s="35"/>
      <c r="D4" s="63" t="s">
        <v>134</v>
      </c>
      <c r="E4" s="63" t="s">
        <v>135</v>
      </c>
      <c r="F4" s="63" t="s">
        <v>136</v>
      </c>
      <c r="G4" s="63" t="s">
        <v>90</v>
      </c>
      <c r="H4" s="63" t="s">
        <v>169</v>
      </c>
      <c r="I4" s="63" t="s">
        <v>45</v>
      </c>
      <c r="J4" s="35"/>
    </row>
    <row r="5" spans="2:11" ht="15">
      <c r="B5" s="34" t="s">
        <v>146</v>
      </c>
      <c r="C5" s="35"/>
      <c r="D5" s="35"/>
      <c r="E5" s="35"/>
      <c r="F5" s="35"/>
      <c r="G5" s="35"/>
      <c r="H5" s="35"/>
      <c r="I5" s="35"/>
      <c r="J5" s="35"/>
    </row>
    <row r="6" spans="2:11">
      <c r="C6" s="63" t="s">
        <v>132</v>
      </c>
      <c r="D6" s="30">
        <v>0</v>
      </c>
      <c r="E6" s="30">
        <v>120</v>
      </c>
      <c r="F6" s="30">
        <v>97</v>
      </c>
      <c r="G6" s="30">
        <v>97</v>
      </c>
      <c r="H6" s="30"/>
      <c r="I6" s="30">
        <f>SUM(D6:G6)</f>
        <v>314</v>
      </c>
      <c r="J6" s="35"/>
    </row>
    <row r="7" spans="2:11">
      <c r="C7" s="63" t="s">
        <v>133</v>
      </c>
      <c r="D7" s="30">
        <v>0</v>
      </c>
      <c r="E7" s="30">
        <v>90</v>
      </c>
      <c r="F7" s="30">
        <v>90</v>
      </c>
      <c r="G7" s="30">
        <v>90</v>
      </c>
      <c r="H7" s="30"/>
      <c r="I7" s="30">
        <f>SUM(D7:G7)</f>
        <v>270</v>
      </c>
      <c r="J7" s="35"/>
    </row>
    <row r="8" spans="2:11">
      <c r="C8" s="35"/>
      <c r="D8" s="35"/>
      <c r="E8" s="35"/>
      <c r="F8" s="35"/>
      <c r="G8" s="35"/>
      <c r="H8" s="35"/>
      <c r="I8" s="35"/>
      <c r="J8" s="35"/>
    </row>
    <row r="9" spans="2:11">
      <c r="C9" s="61" t="s">
        <v>138</v>
      </c>
      <c r="D9" s="30">
        <v>0</v>
      </c>
      <c r="E9" s="35"/>
      <c r="F9" s="35"/>
      <c r="G9" s="35"/>
      <c r="H9" s="35"/>
      <c r="I9" s="35"/>
      <c r="J9" s="35"/>
    </row>
    <row r="10" spans="2:11" ht="40">
      <c r="C10" s="61" t="s">
        <v>153</v>
      </c>
      <c r="D10" s="62">
        <f>I6/I7</f>
        <v>1.162962962962963</v>
      </c>
      <c r="E10" s="35"/>
      <c r="F10" s="35"/>
      <c r="G10" s="35"/>
      <c r="H10" s="35"/>
      <c r="I10" s="35"/>
      <c r="J10" s="35"/>
    </row>
    <row r="11" spans="2:11">
      <c r="C11" s="35"/>
      <c r="D11" s="35"/>
      <c r="E11" s="35"/>
      <c r="F11" s="35"/>
      <c r="G11" s="35"/>
      <c r="H11" s="35"/>
      <c r="I11" s="35"/>
      <c r="J11" s="35"/>
    </row>
    <row r="12" spans="2:11">
      <c r="D12" s="37"/>
      <c r="E12" s="37"/>
      <c r="F12" s="37"/>
      <c r="G12" s="37"/>
      <c r="H12" s="37"/>
      <c r="I12" s="37"/>
    </row>
    <row r="13" spans="2:11">
      <c r="B13" s="104"/>
      <c r="C13" s="105"/>
      <c r="D13" s="107"/>
      <c r="E13" s="107"/>
      <c r="F13" s="107"/>
      <c r="G13" s="107"/>
      <c r="H13" s="107"/>
      <c r="I13" s="107"/>
      <c r="J13" s="104"/>
      <c r="K13" s="104"/>
    </row>
    <row r="14" spans="2:11" ht="15">
      <c r="B14" s="106"/>
      <c r="C14" s="105"/>
      <c r="D14" s="105"/>
      <c r="E14" s="105"/>
      <c r="F14" s="105"/>
      <c r="G14" s="105"/>
      <c r="H14" s="105"/>
      <c r="I14" s="105"/>
      <c r="J14" s="104"/>
      <c r="K14" s="104"/>
    </row>
    <row r="15" spans="2:11" ht="15">
      <c r="B15" s="104"/>
      <c r="C15" s="106"/>
      <c r="D15" s="105"/>
      <c r="E15" s="105"/>
      <c r="F15" s="105"/>
      <c r="G15" s="105"/>
      <c r="H15" s="105"/>
      <c r="I15" s="105"/>
      <c r="J15" s="104"/>
      <c r="K15" s="104"/>
    </row>
    <row r="16" spans="2:11" ht="15">
      <c r="B16" s="104"/>
      <c r="C16" s="106"/>
      <c r="D16" s="105"/>
      <c r="E16" s="105"/>
      <c r="F16" s="105"/>
      <c r="G16" s="105"/>
      <c r="H16" s="105"/>
      <c r="I16" s="105"/>
      <c r="J16" s="104"/>
      <c r="K16" s="104"/>
    </row>
    <row r="17" spans="2:11">
      <c r="B17" s="104"/>
      <c r="C17" s="105"/>
      <c r="D17" s="105"/>
      <c r="E17" s="105"/>
      <c r="F17" s="105"/>
      <c r="G17" s="105"/>
      <c r="H17" s="105"/>
      <c r="I17" s="105"/>
      <c r="J17" s="104"/>
      <c r="K17" s="104"/>
    </row>
    <row r="18" spans="2:11">
      <c r="B18" s="104"/>
      <c r="C18" s="108"/>
      <c r="D18" s="105"/>
      <c r="E18" s="105"/>
      <c r="F18" s="105"/>
      <c r="G18" s="105"/>
      <c r="H18" s="105"/>
      <c r="I18" s="105"/>
      <c r="J18" s="104"/>
      <c r="K18" s="104"/>
    </row>
    <row r="19" spans="2:11">
      <c r="B19" s="104"/>
      <c r="C19" s="108"/>
      <c r="D19" s="109"/>
      <c r="E19" s="105"/>
      <c r="F19" s="105"/>
      <c r="G19" s="105"/>
      <c r="H19" s="105"/>
      <c r="I19" s="105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 ht="14.25" customHeight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E7" sqref="E7"/>
    </sheetView>
  </sheetViews>
  <sheetFormatPr baseColWidth="10" defaultRowHeight="14" x14ac:dyDescent="0"/>
  <cols>
    <col min="2" max="2" width="28.5" bestFit="1" customWidth="1"/>
    <col min="3" max="3" width="14.5" bestFit="1" customWidth="1"/>
    <col min="6" max="6" width="15.5" bestFit="1" customWidth="1"/>
  </cols>
  <sheetData>
    <row r="3" spans="2:6">
      <c r="B3" s="65" t="s">
        <v>6</v>
      </c>
      <c r="C3" s="65" t="s">
        <v>135</v>
      </c>
      <c r="D3" s="65" t="s">
        <v>136</v>
      </c>
      <c r="E3" s="65" t="s">
        <v>90</v>
      </c>
      <c r="F3" s="66" t="s">
        <v>145</v>
      </c>
    </row>
    <row r="4" spans="2:6">
      <c r="B4" s="68" t="s">
        <v>143</v>
      </c>
      <c r="C4" s="67">
        <v>339</v>
      </c>
      <c r="D4" s="67">
        <v>391</v>
      </c>
      <c r="E4" s="67">
        <v>190</v>
      </c>
      <c r="F4" s="21">
        <f>C4+D4</f>
        <v>730</v>
      </c>
    </row>
    <row r="5" spans="2:6">
      <c r="B5" s="68" t="s">
        <v>144</v>
      </c>
      <c r="C5" s="67">
        <v>8</v>
      </c>
      <c r="D5" s="67">
        <v>5</v>
      </c>
      <c r="E5" s="67">
        <v>2.56</v>
      </c>
      <c r="F5" s="21">
        <f>C5+D5</f>
        <v>13</v>
      </c>
    </row>
    <row r="6" spans="2:6">
      <c r="B6" s="69" t="s">
        <v>142</v>
      </c>
      <c r="C6" s="67">
        <f>C4/C5</f>
        <v>42.375</v>
      </c>
      <c r="D6" s="67">
        <f>D4/D5</f>
        <v>78.2</v>
      </c>
      <c r="E6" s="67">
        <f>E4/E5</f>
        <v>74.21875</v>
      </c>
      <c r="F6" s="21">
        <f>F4/F5</f>
        <v>56.153846153846153</v>
      </c>
    </row>
    <row r="9" spans="2:6">
      <c r="B9" s="11" t="s">
        <v>147</v>
      </c>
      <c r="C9" t="s">
        <v>150</v>
      </c>
      <c r="D9" t="s">
        <v>152</v>
      </c>
    </row>
    <row r="10" spans="2:6">
      <c r="B10" s="64" t="s">
        <v>148</v>
      </c>
      <c r="C10">
        <f>C13/C6</f>
        <v>3.3949262536873159</v>
      </c>
      <c r="D10" s="126">
        <f>(C10+C11)/2</f>
        <v>2.6172840987106656</v>
      </c>
      <c r="E10" s="81"/>
      <c r="F10">
        <f>D10</f>
        <v>2.6172840987106656</v>
      </c>
    </row>
    <row r="11" spans="2:6">
      <c r="B11" s="64" t="s">
        <v>149</v>
      </c>
      <c r="C11">
        <f>C13/D6</f>
        <v>1.8396419437340155</v>
      </c>
      <c r="D11" s="126"/>
      <c r="E11" s="81"/>
    </row>
    <row r="13" spans="2:6">
      <c r="B13" s="11" t="s">
        <v>151</v>
      </c>
      <c r="C13">
        <v>143.86000000000001</v>
      </c>
    </row>
  </sheetData>
  <mergeCells count="1">
    <mergeCell ref="D10:D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PSP1.1 Project Plan Summary </vt:lpstr>
      <vt:lpstr>Size Estimating Template </vt:lpstr>
      <vt:lpstr>PSP Time Recording Log</vt:lpstr>
      <vt:lpstr>Probe - Times</vt:lpstr>
      <vt:lpstr>Probe - Sizes</vt:lpstr>
      <vt:lpstr>LOC_X_HORA - Rango</vt:lpstr>
      <vt:lpstr>Prediction Interval -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Montealegre Garcia</dc:creator>
  <cp:lastModifiedBy>Deivid Alexander Osorio Barrera</cp:lastModifiedBy>
  <dcterms:created xsi:type="dcterms:W3CDTF">2013-02-16T15:09:00Z</dcterms:created>
  <dcterms:modified xsi:type="dcterms:W3CDTF">2015-02-26T18:59:22Z</dcterms:modified>
</cp:coreProperties>
</file>