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 J Delgado H\Documents\Tulum\"/>
    </mc:Choice>
  </mc:AlternateContent>
  <xr:revisionPtr revIDLastSave="0" documentId="13_ncr:1_{281EDE15-C63D-4586-AF8A-4B5868F7C0D5}" xr6:coauthVersionLast="47" xr6:coauthVersionMax="47" xr10:uidLastSave="{00000000-0000-0000-0000-000000000000}"/>
  <bookViews>
    <workbookView xWindow="-108" yWindow="-108" windowWidth="23256" windowHeight="12576" xr2:uid="{12103D3B-DDB2-4D47-8DF4-8F98B116159E}"/>
  </bookViews>
  <sheets>
    <sheet name="DATOS" sheetId="1" r:id="rId1"/>
    <sheet name="FLUJOS_DIARIOS" sheetId="3" r:id="rId2"/>
    <sheet name="FLUJO_MENSUAL" sheetId="4" r:id="rId3"/>
    <sheet name="FLUJO_ANUAL" sheetId="5" r:id="rId4"/>
    <sheet name="LOGIT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5" l="1"/>
  <c r="D5" i="5"/>
  <c r="D6" i="5"/>
  <c r="F35" i="1"/>
  <c r="L4" i="1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C19" i="5"/>
  <c r="W19" i="5" s="1"/>
  <c r="C18" i="5"/>
  <c r="W18" i="5" s="1"/>
  <c r="C17" i="5"/>
  <c r="W17" i="5" s="1"/>
  <c r="C16" i="5"/>
  <c r="W16" i="5" s="1"/>
  <c r="C15" i="5"/>
  <c r="W15" i="5" s="1"/>
  <c r="C14" i="5"/>
  <c r="W14" i="5" s="1"/>
  <c r="C13" i="5"/>
  <c r="W13" i="5" s="1"/>
  <c r="C12" i="5"/>
  <c r="W12" i="5" s="1"/>
  <c r="D11" i="4"/>
  <c r="E11" i="4"/>
  <c r="F11" i="4"/>
  <c r="G11" i="4"/>
  <c r="H11" i="4"/>
  <c r="I11" i="4"/>
  <c r="J11" i="4"/>
  <c r="K11" i="4"/>
  <c r="L11" i="4"/>
  <c r="M11" i="4"/>
  <c r="N11" i="4"/>
  <c r="D12" i="4"/>
  <c r="E12" i="4"/>
  <c r="F12" i="4"/>
  <c r="G12" i="4"/>
  <c r="H12" i="4"/>
  <c r="I12" i="4"/>
  <c r="J12" i="4"/>
  <c r="K12" i="4"/>
  <c r="L12" i="4"/>
  <c r="M12" i="4"/>
  <c r="N12" i="4"/>
  <c r="D13" i="4"/>
  <c r="E13" i="4"/>
  <c r="F13" i="4"/>
  <c r="G13" i="4"/>
  <c r="H13" i="4"/>
  <c r="I13" i="4"/>
  <c r="J13" i="4"/>
  <c r="K13" i="4"/>
  <c r="L13" i="4"/>
  <c r="M13" i="4"/>
  <c r="N13" i="4"/>
  <c r="D14" i="4"/>
  <c r="E14" i="4"/>
  <c r="F14" i="4"/>
  <c r="G14" i="4"/>
  <c r="H14" i="4"/>
  <c r="I14" i="4"/>
  <c r="J14" i="4"/>
  <c r="K14" i="4"/>
  <c r="L14" i="4"/>
  <c r="M14" i="4"/>
  <c r="N14" i="4"/>
  <c r="D15" i="4"/>
  <c r="E15" i="4"/>
  <c r="F15" i="4"/>
  <c r="G15" i="4"/>
  <c r="H15" i="4"/>
  <c r="I15" i="4"/>
  <c r="J15" i="4"/>
  <c r="K15" i="4"/>
  <c r="L15" i="4"/>
  <c r="M15" i="4"/>
  <c r="N15" i="4"/>
  <c r="D16" i="4"/>
  <c r="E16" i="4"/>
  <c r="F16" i="4"/>
  <c r="G16" i="4"/>
  <c r="H16" i="4"/>
  <c r="I16" i="4"/>
  <c r="J16" i="4"/>
  <c r="K16" i="4"/>
  <c r="L16" i="4"/>
  <c r="M16" i="4"/>
  <c r="N16" i="4"/>
  <c r="D17" i="4"/>
  <c r="E17" i="4"/>
  <c r="F17" i="4"/>
  <c r="G17" i="4"/>
  <c r="H17" i="4"/>
  <c r="I17" i="4"/>
  <c r="J17" i="4"/>
  <c r="K17" i="4"/>
  <c r="L17" i="4"/>
  <c r="M17" i="4"/>
  <c r="N17" i="4"/>
  <c r="D18" i="4"/>
  <c r="E18" i="4"/>
  <c r="F18" i="4"/>
  <c r="G18" i="4"/>
  <c r="H18" i="4"/>
  <c r="I18" i="4"/>
  <c r="J18" i="4"/>
  <c r="K18" i="4"/>
  <c r="L18" i="4"/>
  <c r="M18" i="4"/>
  <c r="N18" i="4"/>
  <c r="C18" i="4"/>
  <c r="C17" i="4"/>
  <c r="C16" i="4"/>
  <c r="C15" i="4"/>
  <c r="O15" i="4" s="1"/>
  <c r="C14" i="4"/>
  <c r="C13" i="4"/>
  <c r="C12" i="4"/>
  <c r="C11" i="4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C17" i="3"/>
  <c r="C16" i="3"/>
  <c r="C15" i="3"/>
  <c r="C14" i="3"/>
  <c r="C13" i="3"/>
  <c r="C12" i="3"/>
  <c r="C11" i="3"/>
  <c r="C10" i="3"/>
  <c r="AH10" i="3" s="1"/>
  <c r="C7" i="4"/>
  <c r="N7" i="4"/>
  <c r="M7" i="4"/>
  <c r="L7" i="4"/>
  <c r="K7" i="4"/>
  <c r="J7" i="4"/>
  <c r="I7" i="4"/>
  <c r="H7" i="4"/>
  <c r="G7" i="4"/>
  <c r="F7" i="4"/>
  <c r="E7" i="4"/>
  <c r="D7" i="4"/>
  <c r="C7" i="5"/>
  <c r="D7" i="5" s="1"/>
  <c r="B24" i="1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C4" i="5"/>
  <c r="C1" i="5"/>
  <c r="B20" i="5"/>
  <c r="O18" i="4"/>
  <c r="O14" i="4"/>
  <c r="O12" i="4"/>
  <c r="O11" i="4"/>
  <c r="C1" i="3"/>
  <c r="M4" i="4"/>
  <c r="L4" i="4"/>
  <c r="N4" i="4"/>
  <c r="J4" i="4"/>
  <c r="I4" i="4"/>
  <c r="E4" i="4"/>
  <c r="D4" i="4"/>
  <c r="C4" i="4"/>
  <c r="K4" i="4"/>
  <c r="H4" i="4"/>
  <c r="G4" i="4"/>
  <c r="F4" i="4"/>
  <c r="K29" i="1"/>
  <c r="C1" i="4"/>
  <c r="B19" i="4"/>
  <c r="K21" i="1"/>
  <c r="G22" i="3" s="1"/>
  <c r="B18" i="3"/>
  <c r="K30" i="1"/>
  <c r="L29" i="1"/>
  <c r="C105" i="2"/>
  <c r="B105" i="2"/>
  <c r="E6" i="2"/>
  <c r="F6" i="2" s="1"/>
  <c r="G6" i="2" s="1"/>
  <c r="H6" i="2" s="1"/>
  <c r="E7" i="2"/>
  <c r="F7" i="2" s="1"/>
  <c r="G7" i="2" s="1"/>
  <c r="H7" i="2" s="1"/>
  <c r="E8" i="2"/>
  <c r="F8" i="2" s="1"/>
  <c r="G8" i="2" s="1"/>
  <c r="H8" i="2" s="1"/>
  <c r="E9" i="2"/>
  <c r="F9" i="2" s="1"/>
  <c r="G9" i="2" s="1"/>
  <c r="H9" i="2" s="1"/>
  <c r="E10" i="2"/>
  <c r="F10" i="2" s="1"/>
  <c r="G10" i="2" s="1"/>
  <c r="H10" i="2" s="1"/>
  <c r="E11" i="2"/>
  <c r="F11" i="2" s="1"/>
  <c r="G11" i="2" s="1"/>
  <c r="H11" i="2" s="1"/>
  <c r="E12" i="2"/>
  <c r="F12" i="2" s="1"/>
  <c r="G12" i="2" s="1"/>
  <c r="H12" i="2" s="1"/>
  <c r="E13" i="2"/>
  <c r="F13" i="2" s="1"/>
  <c r="G13" i="2" s="1"/>
  <c r="H13" i="2" s="1"/>
  <c r="E14" i="2"/>
  <c r="F14" i="2" s="1"/>
  <c r="G14" i="2" s="1"/>
  <c r="H14" i="2" s="1"/>
  <c r="E15" i="2"/>
  <c r="F15" i="2" s="1"/>
  <c r="G15" i="2" s="1"/>
  <c r="H15" i="2" s="1"/>
  <c r="E16" i="2"/>
  <c r="F16" i="2" s="1"/>
  <c r="G16" i="2" s="1"/>
  <c r="H16" i="2" s="1"/>
  <c r="E17" i="2"/>
  <c r="F17" i="2" s="1"/>
  <c r="G17" i="2" s="1"/>
  <c r="H17" i="2" s="1"/>
  <c r="E18" i="2"/>
  <c r="F18" i="2" s="1"/>
  <c r="G18" i="2" s="1"/>
  <c r="H18" i="2" s="1"/>
  <c r="E19" i="2"/>
  <c r="F19" i="2" s="1"/>
  <c r="G19" i="2" s="1"/>
  <c r="H19" i="2" s="1"/>
  <c r="E20" i="2"/>
  <c r="F20" i="2" s="1"/>
  <c r="G20" i="2" s="1"/>
  <c r="H20" i="2" s="1"/>
  <c r="E21" i="2"/>
  <c r="F21" i="2" s="1"/>
  <c r="G21" i="2" s="1"/>
  <c r="H21" i="2" s="1"/>
  <c r="E22" i="2"/>
  <c r="F22" i="2" s="1"/>
  <c r="G22" i="2" s="1"/>
  <c r="H22" i="2" s="1"/>
  <c r="E23" i="2"/>
  <c r="F23" i="2" s="1"/>
  <c r="G23" i="2" s="1"/>
  <c r="H23" i="2" s="1"/>
  <c r="E24" i="2"/>
  <c r="F24" i="2" s="1"/>
  <c r="G24" i="2" s="1"/>
  <c r="H24" i="2" s="1"/>
  <c r="E25" i="2"/>
  <c r="F25" i="2" s="1"/>
  <c r="G25" i="2" s="1"/>
  <c r="H25" i="2" s="1"/>
  <c r="E26" i="2"/>
  <c r="F26" i="2" s="1"/>
  <c r="G26" i="2" s="1"/>
  <c r="H26" i="2" s="1"/>
  <c r="E27" i="2"/>
  <c r="F27" i="2" s="1"/>
  <c r="G27" i="2" s="1"/>
  <c r="H27" i="2" s="1"/>
  <c r="E28" i="2"/>
  <c r="F28" i="2" s="1"/>
  <c r="G28" i="2" s="1"/>
  <c r="H28" i="2" s="1"/>
  <c r="E29" i="2"/>
  <c r="F29" i="2" s="1"/>
  <c r="G29" i="2" s="1"/>
  <c r="H29" i="2" s="1"/>
  <c r="E30" i="2"/>
  <c r="F30" i="2" s="1"/>
  <c r="G30" i="2" s="1"/>
  <c r="H30" i="2" s="1"/>
  <c r="E31" i="2"/>
  <c r="F31" i="2" s="1"/>
  <c r="G31" i="2" s="1"/>
  <c r="H31" i="2" s="1"/>
  <c r="E32" i="2"/>
  <c r="F32" i="2" s="1"/>
  <c r="G32" i="2" s="1"/>
  <c r="H32" i="2" s="1"/>
  <c r="E33" i="2"/>
  <c r="F33" i="2" s="1"/>
  <c r="G33" i="2" s="1"/>
  <c r="H33" i="2" s="1"/>
  <c r="E34" i="2"/>
  <c r="F34" i="2" s="1"/>
  <c r="G34" i="2" s="1"/>
  <c r="H34" i="2" s="1"/>
  <c r="E35" i="2"/>
  <c r="F35" i="2" s="1"/>
  <c r="G35" i="2" s="1"/>
  <c r="H35" i="2" s="1"/>
  <c r="E36" i="2"/>
  <c r="F36" i="2" s="1"/>
  <c r="G36" i="2" s="1"/>
  <c r="H36" i="2" s="1"/>
  <c r="E37" i="2"/>
  <c r="F37" i="2" s="1"/>
  <c r="G37" i="2" s="1"/>
  <c r="H37" i="2" s="1"/>
  <c r="E38" i="2"/>
  <c r="F38" i="2" s="1"/>
  <c r="G38" i="2" s="1"/>
  <c r="H38" i="2" s="1"/>
  <c r="E39" i="2"/>
  <c r="F39" i="2" s="1"/>
  <c r="G39" i="2" s="1"/>
  <c r="H39" i="2" s="1"/>
  <c r="E40" i="2"/>
  <c r="F40" i="2" s="1"/>
  <c r="G40" i="2" s="1"/>
  <c r="H40" i="2" s="1"/>
  <c r="E41" i="2"/>
  <c r="F41" i="2" s="1"/>
  <c r="G41" i="2" s="1"/>
  <c r="H41" i="2" s="1"/>
  <c r="E42" i="2"/>
  <c r="F42" i="2" s="1"/>
  <c r="G42" i="2" s="1"/>
  <c r="H42" i="2" s="1"/>
  <c r="E43" i="2"/>
  <c r="F43" i="2" s="1"/>
  <c r="G43" i="2" s="1"/>
  <c r="H43" i="2" s="1"/>
  <c r="E44" i="2"/>
  <c r="F44" i="2" s="1"/>
  <c r="G44" i="2" s="1"/>
  <c r="H44" i="2" s="1"/>
  <c r="E45" i="2"/>
  <c r="F45" i="2" s="1"/>
  <c r="G45" i="2" s="1"/>
  <c r="H45" i="2" s="1"/>
  <c r="E46" i="2"/>
  <c r="F46" i="2" s="1"/>
  <c r="G46" i="2" s="1"/>
  <c r="H46" i="2" s="1"/>
  <c r="E47" i="2"/>
  <c r="F47" i="2" s="1"/>
  <c r="G47" i="2" s="1"/>
  <c r="H47" i="2" s="1"/>
  <c r="E48" i="2"/>
  <c r="F48" i="2" s="1"/>
  <c r="G48" i="2" s="1"/>
  <c r="H48" i="2" s="1"/>
  <c r="E49" i="2"/>
  <c r="F49" i="2" s="1"/>
  <c r="G49" i="2" s="1"/>
  <c r="H49" i="2" s="1"/>
  <c r="E50" i="2"/>
  <c r="F50" i="2" s="1"/>
  <c r="G50" i="2" s="1"/>
  <c r="H50" i="2" s="1"/>
  <c r="E51" i="2"/>
  <c r="F51" i="2" s="1"/>
  <c r="G51" i="2" s="1"/>
  <c r="H51" i="2" s="1"/>
  <c r="E52" i="2"/>
  <c r="F52" i="2" s="1"/>
  <c r="G52" i="2" s="1"/>
  <c r="H52" i="2" s="1"/>
  <c r="E53" i="2"/>
  <c r="F53" i="2" s="1"/>
  <c r="G53" i="2" s="1"/>
  <c r="H53" i="2" s="1"/>
  <c r="E54" i="2"/>
  <c r="F54" i="2" s="1"/>
  <c r="G54" i="2" s="1"/>
  <c r="H54" i="2" s="1"/>
  <c r="E55" i="2"/>
  <c r="F55" i="2" s="1"/>
  <c r="G55" i="2" s="1"/>
  <c r="H55" i="2" s="1"/>
  <c r="E56" i="2"/>
  <c r="F56" i="2" s="1"/>
  <c r="G56" i="2" s="1"/>
  <c r="H56" i="2" s="1"/>
  <c r="E57" i="2"/>
  <c r="F57" i="2" s="1"/>
  <c r="G57" i="2" s="1"/>
  <c r="H57" i="2" s="1"/>
  <c r="E58" i="2"/>
  <c r="F58" i="2" s="1"/>
  <c r="G58" i="2" s="1"/>
  <c r="H58" i="2" s="1"/>
  <c r="E59" i="2"/>
  <c r="F59" i="2" s="1"/>
  <c r="G59" i="2" s="1"/>
  <c r="H59" i="2" s="1"/>
  <c r="E60" i="2"/>
  <c r="F60" i="2" s="1"/>
  <c r="G60" i="2" s="1"/>
  <c r="H60" i="2" s="1"/>
  <c r="E61" i="2"/>
  <c r="F61" i="2" s="1"/>
  <c r="G61" i="2" s="1"/>
  <c r="H61" i="2" s="1"/>
  <c r="E62" i="2"/>
  <c r="F62" i="2" s="1"/>
  <c r="G62" i="2" s="1"/>
  <c r="H62" i="2" s="1"/>
  <c r="E63" i="2"/>
  <c r="F63" i="2" s="1"/>
  <c r="G63" i="2" s="1"/>
  <c r="H63" i="2" s="1"/>
  <c r="E64" i="2"/>
  <c r="F64" i="2" s="1"/>
  <c r="G64" i="2" s="1"/>
  <c r="H64" i="2" s="1"/>
  <c r="E65" i="2"/>
  <c r="F65" i="2" s="1"/>
  <c r="G65" i="2" s="1"/>
  <c r="H65" i="2" s="1"/>
  <c r="E66" i="2"/>
  <c r="F66" i="2" s="1"/>
  <c r="G66" i="2" s="1"/>
  <c r="H66" i="2" s="1"/>
  <c r="E67" i="2"/>
  <c r="F67" i="2" s="1"/>
  <c r="G67" i="2" s="1"/>
  <c r="H67" i="2" s="1"/>
  <c r="E68" i="2"/>
  <c r="F68" i="2" s="1"/>
  <c r="G68" i="2" s="1"/>
  <c r="H68" i="2" s="1"/>
  <c r="E69" i="2"/>
  <c r="F69" i="2" s="1"/>
  <c r="G69" i="2" s="1"/>
  <c r="H69" i="2" s="1"/>
  <c r="E70" i="2"/>
  <c r="F70" i="2" s="1"/>
  <c r="G70" i="2" s="1"/>
  <c r="H70" i="2" s="1"/>
  <c r="E71" i="2"/>
  <c r="F71" i="2" s="1"/>
  <c r="G71" i="2" s="1"/>
  <c r="H71" i="2" s="1"/>
  <c r="E72" i="2"/>
  <c r="F72" i="2" s="1"/>
  <c r="G72" i="2" s="1"/>
  <c r="H72" i="2" s="1"/>
  <c r="E73" i="2"/>
  <c r="F73" i="2" s="1"/>
  <c r="G73" i="2" s="1"/>
  <c r="H73" i="2" s="1"/>
  <c r="E74" i="2"/>
  <c r="F74" i="2" s="1"/>
  <c r="G74" i="2" s="1"/>
  <c r="H74" i="2" s="1"/>
  <c r="E75" i="2"/>
  <c r="F75" i="2" s="1"/>
  <c r="G75" i="2" s="1"/>
  <c r="H75" i="2" s="1"/>
  <c r="E76" i="2"/>
  <c r="F76" i="2" s="1"/>
  <c r="G76" i="2" s="1"/>
  <c r="H76" i="2" s="1"/>
  <c r="E77" i="2"/>
  <c r="F77" i="2" s="1"/>
  <c r="G77" i="2" s="1"/>
  <c r="H77" i="2" s="1"/>
  <c r="E78" i="2"/>
  <c r="F78" i="2" s="1"/>
  <c r="G78" i="2" s="1"/>
  <c r="H78" i="2" s="1"/>
  <c r="E79" i="2"/>
  <c r="F79" i="2" s="1"/>
  <c r="G79" i="2" s="1"/>
  <c r="H79" i="2" s="1"/>
  <c r="E80" i="2"/>
  <c r="F80" i="2" s="1"/>
  <c r="G80" i="2" s="1"/>
  <c r="H80" i="2" s="1"/>
  <c r="E81" i="2"/>
  <c r="F81" i="2" s="1"/>
  <c r="G81" i="2" s="1"/>
  <c r="H81" i="2" s="1"/>
  <c r="E82" i="2"/>
  <c r="F82" i="2" s="1"/>
  <c r="G82" i="2" s="1"/>
  <c r="H82" i="2" s="1"/>
  <c r="E83" i="2"/>
  <c r="F83" i="2" s="1"/>
  <c r="G83" i="2" s="1"/>
  <c r="H83" i="2" s="1"/>
  <c r="E84" i="2"/>
  <c r="F84" i="2" s="1"/>
  <c r="G84" i="2" s="1"/>
  <c r="H84" i="2" s="1"/>
  <c r="E85" i="2"/>
  <c r="F85" i="2" s="1"/>
  <c r="G85" i="2" s="1"/>
  <c r="H85" i="2" s="1"/>
  <c r="E86" i="2"/>
  <c r="F86" i="2" s="1"/>
  <c r="G86" i="2" s="1"/>
  <c r="H86" i="2" s="1"/>
  <c r="E87" i="2"/>
  <c r="F87" i="2" s="1"/>
  <c r="G87" i="2" s="1"/>
  <c r="H87" i="2" s="1"/>
  <c r="E88" i="2"/>
  <c r="F88" i="2" s="1"/>
  <c r="G88" i="2" s="1"/>
  <c r="H88" i="2" s="1"/>
  <c r="E89" i="2"/>
  <c r="F89" i="2" s="1"/>
  <c r="G89" i="2" s="1"/>
  <c r="H89" i="2" s="1"/>
  <c r="E90" i="2"/>
  <c r="F90" i="2" s="1"/>
  <c r="G90" i="2" s="1"/>
  <c r="H90" i="2" s="1"/>
  <c r="E91" i="2"/>
  <c r="F91" i="2" s="1"/>
  <c r="G91" i="2" s="1"/>
  <c r="H91" i="2" s="1"/>
  <c r="E92" i="2"/>
  <c r="F92" i="2" s="1"/>
  <c r="G92" i="2" s="1"/>
  <c r="H92" i="2" s="1"/>
  <c r="E93" i="2"/>
  <c r="F93" i="2" s="1"/>
  <c r="G93" i="2" s="1"/>
  <c r="H93" i="2" s="1"/>
  <c r="E94" i="2"/>
  <c r="F94" i="2" s="1"/>
  <c r="G94" i="2" s="1"/>
  <c r="H94" i="2" s="1"/>
  <c r="E95" i="2"/>
  <c r="F95" i="2" s="1"/>
  <c r="G95" i="2" s="1"/>
  <c r="H95" i="2" s="1"/>
  <c r="E96" i="2"/>
  <c r="F96" i="2" s="1"/>
  <c r="G96" i="2" s="1"/>
  <c r="H96" i="2" s="1"/>
  <c r="E97" i="2"/>
  <c r="F97" i="2" s="1"/>
  <c r="G97" i="2" s="1"/>
  <c r="H97" i="2" s="1"/>
  <c r="E98" i="2"/>
  <c r="F98" i="2" s="1"/>
  <c r="G98" i="2" s="1"/>
  <c r="H98" i="2" s="1"/>
  <c r="E99" i="2"/>
  <c r="F99" i="2" s="1"/>
  <c r="G99" i="2" s="1"/>
  <c r="H99" i="2" s="1"/>
  <c r="E100" i="2"/>
  <c r="F100" i="2" s="1"/>
  <c r="G100" i="2" s="1"/>
  <c r="H100" i="2" s="1"/>
  <c r="E101" i="2"/>
  <c r="F101" i="2" s="1"/>
  <c r="G101" i="2" s="1"/>
  <c r="H101" i="2" s="1"/>
  <c r="E102" i="2"/>
  <c r="F102" i="2" s="1"/>
  <c r="G102" i="2" s="1"/>
  <c r="H102" i="2" s="1"/>
  <c r="E103" i="2"/>
  <c r="F103" i="2" s="1"/>
  <c r="G103" i="2" s="1"/>
  <c r="H103" i="2" s="1"/>
  <c r="E104" i="2"/>
  <c r="F104" i="2" s="1"/>
  <c r="G104" i="2" s="1"/>
  <c r="H104" i="2" s="1"/>
  <c r="E5" i="2"/>
  <c r="F5" i="2" s="1"/>
  <c r="G5" i="2" s="1"/>
  <c r="H5" i="2" s="1"/>
  <c r="D8" i="5" l="1"/>
  <c r="O17" i="4"/>
  <c r="O16" i="4"/>
  <c r="O13" i="4"/>
  <c r="S24" i="5"/>
  <c r="O24" i="5"/>
  <c r="K24" i="5"/>
  <c r="G24" i="5"/>
  <c r="V24" i="5"/>
  <c r="R24" i="5"/>
  <c r="N24" i="5"/>
  <c r="J24" i="5"/>
  <c r="F24" i="5"/>
  <c r="U24" i="5"/>
  <c r="Q24" i="5"/>
  <c r="M24" i="5"/>
  <c r="I24" i="5"/>
  <c r="E24" i="5"/>
  <c r="T24" i="5"/>
  <c r="P24" i="5"/>
  <c r="L24" i="5"/>
  <c r="H24" i="5"/>
  <c r="D24" i="5"/>
  <c r="W4" i="5"/>
  <c r="C24" i="5"/>
  <c r="AH17" i="3"/>
  <c r="N23" i="4"/>
  <c r="AH14" i="3"/>
  <c r="AH16" i="3"/>
  <c r="AH13" i="3"/>
  <c r="AH12" i="3"/>
  <c r="AH11" i="3"/>
  <c r="AH15" i="3"/>
  <c r="J23" i="4"/>
  <c r="O7" i="4"/>
  <c r="E7" i="5"/>
  <c r="F7" i="5" s="1"/>
  <c r="G7" i="5" s="1"/>
  <c r="H7" i="5" s="1"/>
  <c r="I7" i="5" s="1"/>
  <c r="J7" i="5" s="1"/>
  <c r="K7" i="5" s="1"/>
  <c r="L7" i="5" s="1"/>
  <c r="M7" i="5" s="1"/>
  <c r="N7" i="5" s="1"/>
  <c r="O7" i="5" s="1"/>
  <c r="P7" i="5" s="1"/>
  <c r="Q7" i="5" s="1"/>
  <c r="R7" i="5" s="1"/>
  <c r="S7" i="5" s="1"/>
  <c r="T7" i="5" s="1"/>
  <c r="U7" i="5" s="1"/>
  <c r="V7" i="5" s="1"/>
  <c r="I23" i="4"/>
  <c r="C23" i="4"/>
  <c r="K23" i="4"/>
  <c r="G23" i="4"/>
  <c r="F23" i="4"/>
  <c r="E23" i="4"/>
  <c r="M23" i="4"/>
  <c r="L23" i="4"/>
  <c r="H23" i="4"/>
  <c r="D23" i="4"/>
  <c r="O4" i="4"/>
  <c r="AB22" i="3"/>
  <c r="L22" i="3"/>
  <c r="Y22" i="3"/>
  <c r="I22" i="3"/>
  <c r="AF22" i="3"/>
  <c r="X22" i="3"/>
  <c r="P22" i="3"/>
  <c r="H22" i="3"/>
  <c r="T22" i="3"/>
  <c r="AG22" i="3"/>
  <c r="Q22" i="3"/>
  <c r="AC22" i="3"/>
  <c r="U22" i="3"/>
  <c r="M22" i="3"/>
  <c r="F4" i="3"/>
  <c r="O4" i="3"/>
  <c r="W4" i="3"/>
  <c r="AC4" i="3"/>
  <c r="G4" i="3"/>
  <c r="Q4" i="3"/>
  <c r="X4" i="3"/>
  <c r="AE4" i="3"/>
  <c r="T4" i="3"/>
  <c r="L4" i="3"/>
  <c r="S4" i="3"/>
  <c r="Y4" i="3"/>
  <c r="AG4" i="3"/>
  <c r="M4" i="3"/>
  <c r="AB4" i="3"/>
  <c r="AF4" i="3"/>
  <c r="AA4" i="3"/>
  <c r="U4" i="3"/>
  <c r="P4" i="3"/>
  <c r="K4" i="3"/>
  <c r="I4" i="3"/>
  <c r="H4" i="3"/>
  <c r="D4" i="3"/>
  <c r="C4" i="3"/>
  <c r="AD4" i="3"/>
  <c r="Z4" i="3"/>
  <c r="V4" i="3"/>
  <c r="R4" i="3"/>
  <c r="N4" i="3"/>
  <c r="J4" i="3"/>
  <c r="E4" i="3"/>
  <c r="C22" i="3"/>
  <c r="AD22" i="3"/>
  <c r="Z22" i="3"/>
  <c r="V22" i="3"/>
  <c r="R22" i="3"/>
  <c r="N22" i="3"/>
  <c r="J22" i="3"/>
  <c r="F22" i="3"/>
  <c r="E22" i="3"/>
  <c r="D22" i="3"/>
  <c r="AE22" i="3"/>
  <c r="AA22" i="3"/>
  <c r="W22" i="3"/>
  <c r="S22" i="3"/>
  <c r="O22" i="3"/>
  <c r="K22" i="3"/>
  <c r="W24" i="5" l="1"/>
  <c r="W7" i="5"/>
  <c r="O23" i="4"/>
  <c r="AH22" i="3"/>
  <c r="AH4" i="3"/>
  <c r="K25" i="1"/>
  <c r="A105" i="2" s="1"/>
  <c r="E105" i="2" s="1"/>
  <c r="F105" i="2" s="1"/>
  <c r="G105" i="2" s="1"/>
  <c r="H105" i="2" s="1"/>
  <c r="K28" i="1" s="1"/>
  <c r="B35" i="1"/>
  <c r="B36" i="1" s="1"/>
  <c r="B34" i="1"/>
  <c r="B31" i="1"/>
  <c r="B30" i="1"/>
  <c r="B29" i="1"/>
  <c r="F25" i="1"/>
  <c r="K22" i="1"/>
  <c r="F28" i="1" s="1"/>
  <c r="I5" i="1"/>
  <c r="F19" i="1"/>
  <c r="G6" i="1"/>
  <c r="F8" i="1"/>
  <c r="K5" i="1" s="1"/>
  <c r="B6" i="1"/>
  <c r="B7" i="1" s="1"/>
  <c r="B10" i="1"/>
  <c r="B19" i="1" s="1"/>
  <c r="C11" i="5" l="1"/>
  <c r="K15" i="1"/>
  <c r="H5" i="4"/>
  <c r="R5" i="5"/>
  <c r="R6" i="5" s="1"/>
  <c r="R8" i="5" s="1"/>
  <c r="K5" i="4"/>
  <c r="Q5" i="5"/>
  <c r="Q6" i="5" s="1"/>
  <c r="Q8" i="5" s="1"/>
  <c r="F5" i="4"/>
  <c r="P5" i="5"/>
  <c r="P6" i="5" s="1"/>
  <c r="P8" i="5" s="1"/>
  <c r="G5" i="4"/>
  <c r="S5" i="5"/>
  <c r="S6" i="5" s="1"/>
  <c r="S8" i="5" s="1"/>
  <c r="E5" i="4"/>
  <c r="N5" i="5"/>
  <c r="N6" i="5" s="1"/>
  <c r="N8" i="5" s="1"/>
  <c r="I5" i="4"/>
  <c r="M5" i="5"/>
  <c r="M6" i="5" s="1"/>
  <c r="M8" i="5" s="1"/>
  <c r="C5" i="4"/>
  <c r="C6" i="4" s="1"/>
  <c r="L5" i="5"/>
  <c r="L6" i="5" s="1"/>
  <c r="L8" i="5" s="1"/>
  <c r="D5" i="4"/>
  <c r="O5" i="5"/>
  <c r="O6" i="5" s="1"/>
  <c r="O8" i="5" s="1"/>
  <c r="L5" i="4"/>
  <c r="J5" i="5"/>
  <c r="J6" i="5" s="1"/>
  <c r="J8" i="5" s="1"/>
  <c r="M5" i="4"/>
  <c r="I5" i="5"/>
  <c r="I6" i="5" s="1"/>
  <c r="I8" i="5" s="1"/>
  <c r="J5" i="4"/>
  <c r="H5" i="5"/>
  <c r="H6" i="5" s="1"/>
  <c r="H8" i="5" s="1"/>
  <c r="N5" i="4"/>
  <c r="K5" i="5"/>
  <c r="K6" i="5" s="1"/>
  <c r="K8" i="5" s="1"/>
  <c r="V5" i="5"/>
  <c r="V6" i="5" s="1"/>
  <c r="V8" i="5" s="1"/>
  <c r="F5" i="5"/>
  <c r="F6" i="5" s="1"/>
  <c r="F8" i="5" s="1"/>
  <c r="U5" i="5"/>
  <c r="U6" i="5" s="1"/>
  <c r="U8" i="5" s="1"/>
  <c r="E5" i="5"/>
  <c r="E6" i="5" s="1"/>
  <c r="E8" i="5" s="1"/>
  <c r="T5" i="5"/>
  <c r="T6" i="5" s="1"/>
  <c r="T8" i="5" s="1"/>
  <c r="C5" i="5"/>
  <c r="G5" i="5"/>
  <c r="G6" i="5" s="1"/>
  <c r="G8" i="5" s="1"/>
  <c r="AD5" i="3"/>
  <c r="AD6" i="3" s="1"/>
  <c r="AD7" i="3" s="1"/>
  <c r="M5" i="3"/>
  <c r="M6" i="3" s="1"/>
  <c r="M7" i="3" s="1"/>
  <c r="R5" i="3"/>
  <c r="R6" i="3" s="1"/>
  <c r="R7" i="3" s="1"/>
  <c r="AF5" i="3"/>
  <c r="AF6" i="3" s="1"/>
  <c r="AF7" i="3" s="1"/>
  <c r="P5" i="3"/>
  <c r="P6" i="3" s="1"/>
  <c r="P7" i="3" s="1"/>
  <c r="V5" i="3"/>
  <c r="V6" i="3" s="1"/>
  <c r="V7" i="3" s="1"/>
  <c r="AE5" i="3"/>
  <c r="AE6" i="3" s="1"/>
  <c r="AE7" i="3" s="1"/>
  <c r="O5" i="3"/>
  <c r="O6" i="3" s="1"/>
  <c r="O7" i="3" s="1"/>
  <c r="N5" i="3"/>
  <c r="N6" i="3" s="1"/>
  <c r="N7" i="3" s="1"/>
  <c r="X5" i="3"/>
  <c r="X6" i="3" s="1"/>
  <c r="X7" i="3" s="1"/>
  <c r="AC5" i="3"/>
  <c r="AC6" i="3" s="1"/>
  <c r="AC7" i="3" s="1"/>
  <c r="G5" i="3"/>
  <c r="G6" i="3" s="1"/>
  <c r="G7" i="3" s="1"/>
  <c r="C5" i="3"/>
  <c r="C6" i="3" s="1"/>
  <c r="C7" i="3" s="1"/>
  <c r="Q5" i="3"/>
  <c r="Q6" i="3" s="1"/>
  <c r="Q7" i="3" s="1"/>
  <c r="D5" i="3"/>
  <c r="D6" i="3" s="1"/>
  <c r="D7" i="3" s="1"/>
  <c r="S5" i="3"/>
  <c r="S6" i="3" s="1"/>
  <c r="S7" i="3" s="1"/>
  <c r="Z5" i="3"/>
  <c r="Z6" i="3" s="1"/>
  <c r="Z7" i="3" s="1"/>
  <c r="I5" i="3"/>
  <c r="I6" i="3" s="1"/>
  <c r="I7" i="3" s="1"/>
  <c r="F5" i="3"/>
  <c r="F6" i="3" s="1"/>
  <c r="F7" i="3" s="1"/>
  <c r="AB5" i="3"/>
  <c r="AB6" i="3" s="1"/>
  <c r="AB7" i="3" s="1"/>
  <c r="L5" i="3"/>
  <c r="L6" i="3" s="1"/>
  <c r="L7" i="3" s="1"/>
  <c r="J5" i="3"/>
  <c r="J6" i="3" s="1"/>
  <c r="J7" i="3" s="1"/>
  <c r="AA5" i="3"/>
  <c r="AA6" i="3" s="1"/>
  <c r="AA7" i="3" s="1"/>
  <c r="K5" i="3"/>
  <c r="K6" i="3" s="1"/>
  <c r="K7" i="3" s="1"/>
  <c r="E5" i="3"/>
  <c r="E6" i="3" s="1"/>
  <c r="E7" i="3" s="1"/>
  <c r="AG5" i="3"/>
  <c r="AG6" i="3" s="1"/>
  <c r="AG7" i="3" s="1"/>
  <c r="H5" i="3"/>
  <c r="H6" i="3" s="1"/>
  <c r="H7" i="3" s="1"/>
  <c r="W5" i="3"/>
  <c r="W6" i="3" s="1"/>
  <c r="W7" i="3" s="1"/>
  <c r="Y5" i="3"/>
  <c r="Y6" i="3" s="1"/>
  <c r="Y7" i="3" s="1"/>
  <c r="T5" i="3"/>
  <c r="T6" i="3" s="1"/>
  <c r="T7" i="3" s="1"/>
  <c r="U5" i="3"/>
  <c r="U6" i="3" s="1"/>
  <c r="U7" i="3" s="1"/>
  <c r="K31" i="1"/>
  <c r="F24" i="1"/>
  <c r="K4" i="1"/>
  <c r="K7" i="1"/>
  <c r="K6" i="1"/>
  <c r="K11" i="1"/>
  <c r="F21" i="1"/>
  <c r="B20" i="1"/>
  <c r="C6" i="5" l="1"/>
  <c r="W5" i="5"/>
  <c r="G23" i="5"/>
  <c r="G22" i="5"/>
  <c r="G21" i="5"/>
  <c r="G20" i="5"/>
  <c r="E21" i="5"/>
  <c r="E20" i="5"/>
  <c r="E23" i="5"/>
  <c r="E22" i="5"/>
  <c r="K23" i="5"/>
  <c r="K22" i="5"/>
  <c r="K21" i="5"/>
  <c r="K20" i="5"/>
  <c r="I21" i="5"/>
  <c r="I20" i="5"/>
  <c r="I23" i="5"/>
  <c r="I22" i="5"/>
  <c r="O23" i="5"/>
  <c r="O22" i="5"/>
  <c r="O21" i="5"/>
  <c r="O20" i="5"/>
  <c r="M21" i="5"/>
  <c r="M20" i="5"/>
  <c r="M23" i="5"/>
  <c r="M22" i="5"/>
  <c r="S23" i="5"/>
  <c r="S22" i="5"/>
  <c r="S21" i="5"/>
  <c r="S20" i="5"/>
  <c r="Q21" i="5"/>
  <c r="Q20" i="5"/>
  <c r="Q23" i="5"/>
  <c r="Q22" i="5"/>
  <c r="U21" i="5"/>
  <c r="U20" i="5"/>
  <c r="U23" i="5"/>
  <c r="U22" i="5"/>
  <c r="D20" i="5"/>
  <c r="D23" i="5"/>
  <c r="D22" i="5"/>
  <c r="D21" i="5"/>
  <c r="F22" i="5"/>
  <c r="F21" i="5"/>
  <c r="F20" i="5"/>
  <c r="F23" i="5"/>
  <c r="H20" i="5"/>
  <c r="H23" i="5"/>
  <c r="H22" i="5"/>
  <c r="H21" i="5"/>
  <c r="J22" i="5"/>
  <c r="J21" i="5"/>
  <c r="J20" i="5"/>
  <c r="J23" i="5"/>
  <c r="L20" i="5"/>
  <c r="L23" i="5"/>
  <c r="L22" i="5"/>
  <c r="L21" i="5"/>
  <c r="N22" i="5"/>
  <c r="N21" i="5"/>
  <c r="N20" i="5"/>
  <c r="N23" i="5"/>
  <c r="P20" i="5"/>
  <c r="P23" i="5"/>
  <c r="P22" i="5"/>
  <c r="P21" i="5"/>
  <c r="R22" i="5"/>
  <c r="R21" i="5"/>
  <c r="R20" i="5"/>
  <c r="R23" i="5"/>
  <c r="T20" i="5"/>
  <c r="T23" i="5"/>
  <c r="T22" i="5"/>
  <c r="T21" i="5"/>
  <c r="V22" i="5"/>
  <c r="V21" i="5"/>
  <c r="V20" i="5"/>
  <c r="V23" i="5"/>
  <c r="H21" i="3"/>
  <c r="H18" i="3"/>
  <c r="H19" i="3"/>
  <c r="H20" i="3"/>
  <c r="F19" i="3"/>
  <c r="F20" i="3"/>
  <c r="F21" i="3"/>
  <c r="F18" i="3"/>
  <c r="AE18" i="3"/>
  <c r="AE19" i="3"/>
  <c r="AE20" i="3"/>
  <c r="AE21" i="3"/>
  <c r="T21" i="3"/>
  <c r="T18" i="3"/>
  <c r="T19" i="3"/>
  <c r="T20" i="3"/>
  <c r="M20" i="3"/>
  <c r="M21" i="3"/>
  <c r="M18" i="3"/>
  <c r="M19" i="3"/>
  <c r="U20" i="3"/>
  <c r="U21" i="3"/>
  <c r="U18" i="3"/>
  <c r="U19" i="3"/>
  <c r="D21" i="3"/>
  <c r="D18" i="3"/>
  <c r="D19" i="3"/>
  <c r="D20" i="3"/>
  <c r="R19" i="3"/>
  <c r="R20" i="3"/>
  <c r="R21" i="3"/>
  <c r="R18" i="3"/>
  <c r="N6" i="4"/>
  <c r="N8" i="4" s="1"/>
  <c r="N19" i="4" s="1"/>
  <c r="D6" i="4"/>
  <c r="D8" i="4" s="1"/>
  <c r="D19" i="4" s="1"/>
  <c r="G6" i="4"/>
  <c r="G8" i="4" s="1"/>
  <c r="G19" i="4" s="1"/>
  <c r="J19" i="3"/>
  <c r="J20" i="3"/>
  <c r="J21" i="3"/>
  <c r="J18" i="3"/>
  <c r="Q20" i="3"/>
  <c r="Q21" i="3"/>
  <c r="Q18" i="3"/>
  <c r="Q19" i="3"/>
  <c r="V19" i="3"/>
  <c r="V20" i="3"/>
  <c r="V21" i="3"/>
  <c r="V18" i="3"/>
  <c r="Y20" i="3"/>
  <c r="Y21" i="3"/>
  <c r="Y18" i="3"/>
  <c r="Y19" i="3"/>
  <c r="E20" i="3"/>
  <c r="E21" i="3"/>
  <c r="E18" i="3"/>
  <c r="E19" i="3"/>
  <c r="L21" i="3"/>
  <c r="L18" i="3"/>
  <c r="L19" i="3"/>
  <c r="L20" i="3"/>
  <c r="Z19" i="3"/>
  <c r="Z20" i="3"/>
  <c r="Z21" i="3"/>
  <c r="Z18" i="3"/>
  <c r="C18" i="3"/>
  <c r="C19" i="3"/>
  <c r="C20" i="3"/>
  <c r="C21" i="3"/>
  <c r="N19" i="3"/>
  <c r="N20" i="3"/>
  <c r="N21" i="3"/>
  <c r="N18" i="3"/>
  <c r="P21" i="3"/>
  <c r="P18" i="3"/>
  <c r="P19" i="3"/>
  <c r="P20" i="3"/>
  <c r="AD19" i="3"/>
  <c r="AD20" i="3"/>
  <c r="AD21" i="3"/>
  <c r="AD18" i="3"/>
  <c r="J6" i="4"/>
  <c r="J8" i="4" s="1"/>
  <c r="J19" i="4" s="1"/>
  <c r="L6" i="4"/>
  <c r="L8" i="4" s="1"/>
  <c r="L19" i="4" s="1"/>
  <c r="E6" i="4"/>
  <c r="E8" i="4" s="1"/>
  <c r="E19" i="4" s="1"/>
  <c r="F6" i="4"/>
  <c r="F8" i="4" s="1"/>
  <c r="F19" i="4" s="1"/>
  <c r="H6" i="4"/>
  <c r="H8" i="4" s="1"/>
  <c r="H19" i="4" s="1"/>
  <c r="AA18" i="3"/>
  <c r="AA19" i="3"/>
  <c r="AA20" i="3"/>
  <c r="AA21" i="3"/>
  <c r="AC20" i="3"/>
  <c r="AC21" i="3"/>
  <c r="AC18" i="3"/>
  <c r="AC19" i="3"/>
  <c r="M6" i="4"/>
  <c r="M8" i="4" s="1"/>
  <c r="M19" i="4" s="1"/>
  <c r="I6" i="4"/>
  <c r="I8" i="4" s="1"/>
  <c r="I19" i="4" s="1"/>
  <c r="K6" i="4"/>
  <c r="K8" i="4" s="1"/>
  <c r="K19" i="4" s="1"/>
  <c r="AG20" i="3"/>
  <c r="AG21" i="3"/>
  <c r="AG18" i="3"/>
  <c r="AG19" i="3"/>
  <c r="I20" i="3"/>
  <c r="I21" i="3"/>
  <c r="I18" i="3"/>
  <c r="I19" i="3"/>
  <c r="X21" i="3"/>
  <c r="X18" i="3"/>
  <c r="X19" i="3"/>
  <c r="X20" i="3"/>
  <c r="W18" i="3"/>
  <c r="W19" i="3"/>
  <c r="W20" i="3"/>
  <c r="W21" i="3"/>
  <c r="K18" i="3"/>
  <c r="K19" i="3"/>
  <c r="K20" i="3"/>
  <c r="K21" i="3"/>
  <c r="AB21" i="3"/>
  <c r="AB18" i="3"/>
  <c r="AB19" i="3"/>
  <c r="AB20" i="3"/>
  <c r="S18" i="3"/>
  <c r="S19" i="3"/>
  <c r="S20" i="3"/>
  <c r="S21" i="3"/>
  <c r="G18" i="3"/>
  <c r="G19" i="3"/>
  <c r="G20" i="3"/>
  <c r="G21" i="3"/>
  <c r="O18" i="3"/>
  <c r="O19" i="3"/>
  <c r="O20" i="3"/>
  <c r="O21" i="3"/>
  <c r="AF21" i="3"/>
  <c r="AF18" i="3"/>
  <c r="AF19" i="3"/>
  <c r="AF20" i="3"/>
  <c r="O5" i="4"/>
  <c r="AH5" i="3"/>
  <c r="K8" i="1"/>
  <c r="C8" i="5" l="1"/>
  <c r="W8" i="5" s="1"/>
  <c r="W6" i="5"/>
  <c r="S25" i="5"/>
  <c r="S27" i="5" s="1"/>
  <c r="S29" i="5" s="1"/>
  <c r="O25" i="5"/>
  <c r="O27" i="5" s="1"/>
  <c r="O29" i="5" s="1"/>
  <c r="K25" i="5"/>
  <c r="K27" i="5" s="1"/>
  <c r="K29" i="5" s="1"/>
  <c r="G25" i="5"/>
  <c r="G27" i="5" s="1"/>
  <c r="G29" i="5" s="1"/>
  <c r="V25" i="5"/>
  <c r="V27" i="5" s="1"/>
  <c r="V29" i="5" s="1"/>
  <c r="R25" i="5"/>
  <c r="R27" i="5" s="1"/>
  <c r="R29" i="5" s="1"/>
  <c r="N25" i="5"/>
  <c r="N27" i="5" s="1"/>
  <c r="N29" i="5" s="1"/>
  <c r="J25" i="5"/>
  <c r="J27" i="5" s="1"/>
  <c r="J29" i="5" s="1"/>
  <c r="F25" i="5"/>
  <c r="F27" i="5" s="1"/>
  <c r="F29" i="5" s="1"/>
  <c r="U25" i="5"/>
  <c r="U27" i="5" s="1"/>
  <c r="U29" i="5" s="1"/>
  <c r="Q25" i="5"/>
  <c r="Q27" i="5" s="1"/>
  <c r="Q29" i="5" s="1"/>
  <c r="M25" i="5"/>
  <c r="M27" i="5" s="1"/>
  <c r="M29" i="5" s="1"/>
  <c r="I25" i="5"/>
  <c r="I27" i="5" s="1"/>
  <c r="I29" i="5" s="1"/>
  <c r="E25" i="5"/>
  <c r="E27" i="5" s="1"/>
  <c r="E29" i="5" s="1"/>
  <c r="T25" i="5"/>
  <c r="T27" i="5" s="1"/>
  <c r="T29" i="5" s="1"/>
  <c r="P25" i="5"/>
  <c r="P27" i="5" s="1"/>
  <c r="P29" i="5" s="1"/>
  <c r="L25" i="5"/>
  <c r="L27" i="5" s="1"/>
  <c r="L29" i="5" s="1"/>
  <c r="H25" i="5"/>
  <c r="H27" i="5" s="1"/>
  <c r="H29" i="5" s="1"/>
  <c r="D25" i="5"/>
  <c r="D27" i="5" s="1"/>
  <c r="D29" i="5" s="1"/>
  <c r="H20" i="4"/>
  <c r="H22" i="4"/>
  <c r="H21" i="4"/>
  <c r="G22" i="4"/>
  <c r="G21" i="4"/>
  <c r="G20" i="4"/>
  <c r="K22" i="4"/>
  <c r="K21" i="4"/>
  <c r="K20" i="4"/>
  <c r="I21" i="4"/>
  <c r="I20" i="4"/>
  <c r="I22" i="4"/>
  <c r="D20" i="4"/>
  <c r="D22" i="4"/>
  <c r="D21" i="4"/>
  <c r="J22" i="4"/>
  <c r="J21" i="4"/>
  <c r="J20" i="4"/>
  <c r="F22" i="4"/>
  <c r="F21" i="4"/>
  <c r="F20" i="4"/>
  <c r="E21" i="4"/>
  <c r="E20" i="4"/>
  <c r="E22" i="4"/>
  <c r="M21" i="4"/>
  <c r="M20" i="4"/>
  <c r="M22" i="4"/>
  <c r="L20" i="4"/>
  <c r="L22" i="4"/>
  <c r="L21" i="4"/>
  <c r="N22" i="4"/>
  <c r="N21" i="4"/>
  <c r="N20" i="4"/>
  <c r="O6" i="4"/>
  <c r="K36" i="1" s="1"/>
  <c r="C8" i="4"/>
  <c r="C19" i="4" s="1"/>
  <c r="O19" i="4" s="1"/>
  <c r="P23" i="3"/>
  <c r="P25" i="3" s="1"/>
  <c r="P27" i="3" s="1"/>
  <c r="E23" i="3"/>
  <c r="E25" i="3" s="1"/>
  <c r="E27" i="3" s="1"/>
  <c r="AB23" i="3"/>
  <c r="AB25" i="3" s="1"/>
  <c r="AB27" i="3" s="1"/>
  <c r="AD23" i="3"/>
  <c r="AD25" i="3" s="1"/>
  <c r="AD27" i="3" s="1"/>
  <c r="G23" i="3"/>
  <c r="G25" i="3" s="1"/>
  <c r="G27" i="3" s="1"/>
  <c r="V23" i="3"/>
  <c r="V25" i="3" s="1"/>
  <c r="V27" i="3" s="1"/>
  <c r="X23" i="3"/>
  <c r="X25" i="3" s="1"/>
  <c r="X27" i="3" s="1"/>
  <c r="J23" i="3"/>
  <c r="J25" i="3" s="1"/>
  <c r="J27" i="3" s="1"/>
  <c r="AG23" i="3"/>
  <c r="AG25" i="3" s="1"/>
  <c r="S23" i="3"/>
  <c r="S25" i="3" s="1"/>
  <c r="S27" i="3" s="1"/>
  <c r="L23" i="3"/>
  <c r="L25" i="3" s="1"/>
  <c r="L27" i="3" s="1"/>
  <c r="R23" i="3"/>
  <c r="R25" i="3" s="1"/>
  <c r="R27" i="3" s="1"/>
  <c r="AE23" i="3"/>
  <c r="AE25" i="3" s="1"/>
  <c r="AE27" i="3" s="1"/>
  <c r="O23" i="3"/>
  <c r="O25" i="3" s="1"/>
  <c r="O27" i="3" s="1"/>
  <c r="N23" i="3"/>
  <c r="N25" i="3" s="1"/>
  <c r="N27" i="3" s="1"/>
  <c r="AF23" i="3"/>
  <c r="AF25" i="3" s="1"/>
  <c r="AF27" i="3" s="1"/>
  <c r="W23" i="3"/>
  <c r="W25" i="3" s="1"/>
  <c r="W27" i="3" s="1"/>
  <c r="M23" i="3"/>
  <c r="M25" i="3" s="1"/>
  <c r="M27" i="3" s="1"/>
  <c r="I23" i="3"/>
  <c r="I25" i="3" s="1"/>
  <c r="I27" i="3" s="1"/>
  <c r="Z23" i="3"/>
  <c r="Z25" i="3" s="1"/>
  <c r="Z27" i="3" s="1"/>
  <c r="AC23" i="3"/>
  <c r="AC25" i="3" s="1"/>
  <c r="AC27" i="3" s="1"/>
  <c r="D23" i="3"/>
  <c r="D25" i="3" s="1"/>
  <c r="D27" i="3" s="1"/>
  <c r="Y23" i="3"/>
  <c r="Y25" i="3" s="1"/>
  <c r="Y27" i="3" s="1"/>
  <c r="F23" i="3"/>
  <c r="F25" i="3" s="1"/>
  <c r="F27" i="3" s="1"/>
  <c r="H23" i="3"/>
  <c r="H25" i="3" s="1"/>
  <c r="H27" i="3" s="1"/>
  <c r="Q23" i="3"/>
  <c r="Q25" i="3" s="1"/>
  <c r="Q27" i="3" s="1"/>
  <c r="T23" i="3"/>
  <c r="T25" i="3" s="1"/>
  <c r="T27" i="3" s="1"/>
  <c r="AA23" i="3"/>
  <c r="AA25" i="3" s="1"/>
  <c r="AA27" i="3" s="1"/>
  <c r="U23" i="3"/>
  <c r="U25" i="3" s="1"/>
  <c r="U27" i="3" s="1"/>
  <c r="K23" i="3"/>
  <c r="K25" i="3" s="1"/>
  <c r="K27" i="3" s="1"/>
  <c r="AH6" i="3"/>
  <c r="K34" i="1" s="1"/>
  <c r="K12" i="1"/>
  <c r="F27" i="1" s="1"/>
  <c r="F26" i="1"/>
  <c r="C20" i="5" l="1"/>
  <c r="W20" i="5" s="1"/>
  <c r="C21" i="5"/>
  <c r="W21" i="5" s="1"/>
  <c r="C22" i="5"/>
  <c r="W22" i="5" s="1"/>
  <c r="C23" i="5"/>
  <c r="W23" i="5" s="1"/>
  <c r="L24" i="4"/>
  <c r="L26" i="4" s="1"/>
  <c r="L28" i="4" s="1"/>
  <c r="M24" i="4"/>
  <c r="M26" i="4" s="1"/>
  <c r="M28" i="4" s="1"/>
  <c r="D24" i="4"/>
  <c r="D26" i="4" s="1"/>
  <c r="D28" i="4" s="1"/>
  <c r="H24" i="4"/>
  <c r="H26" i="4" s="1"/>
  <c r="H28" i="4" s="1"/>
  <c r="G24" i="4"/>
  <c r="G26" i="4" s="1"/>
  <c r="G28" i="4" s="1"/>
  <c r="E24" i="4"/>
  <c r="E26" i="4" s="1"/>
  <c r="E28" i="4" s="1"/>
  <c r="I24" i="4"/>
  <c r="I26" i="4" s="1"/>
  <c r="I28" i="4" s="1"/>
  <c r="N24" i="4"/>
  <c r="N26" i="4" s="1"/>
  <c r="N28" i="4" s="1"/>
  <c r="F24" i="4"/>
  <c r="F26" i="4" s="1"/>
  <c r="F28" i="4" s="1"/>
  <c r="K24" i="4"/>
  <c r="K26" i="4" s="1"/>
  <c r="K28" i="4" s="1"/>
  <c r="J24" i="4"/>
  <c r="J26" i="4" s="1"/>
  <c r="J28" i="4" s="1"/>
  <c r="C22" i="4"/>
  <c r="O22" i="4" s="1"/>
  <c r="C21" i="4"/>
  <c r="O21" i="4" s="1"/>
  <c r="C20" i="4"/>
  <c r="O20" i="4" s="1"/>
  <c r="O8" i="4"/>
  <c r="AG27" i="3"/>
  <c r="F29" i="1"/>
  <c r="AH21" i="3"/>
  <c r="AH19" i="3"/>
  <c r="AH20" i="3"/>
  <c r="AH7" i="3"/>
  <c r="W25" i="5" l="1"/>
  <c r="F34" i="1" s="1"/>
  <c r="C25" i="5"/>
  <c r="C27" i="5" s="1"/>
  <c r="O24" i="4"/>
  <c r="C24" i="4"/>
  <c r="AH18" i="3"/>
  <c r="AH23" i="3" s="1"/>
  <c r="C23" i="3"/>
  <c r="C29" i="5" l="1"/>
  <c r="C31" i="5" s="1"/>
  <c r="C32" i="5" s="1"/>
  <c r="W27" i="5"/>
  <c r="C26" i="4"/>
  <c r="C25" i="3"/>
  <c r="C27" i="3" s="1"/>
  <c r="W29" i="5" l="1"/>
  <c r="F32" i="1" s="1"/>
  <c r="D31" i="5"/>
  <c r="AH27" i="3"/>
  <c r="K35" i="1" s="1"/>
  <c r="C29" i="3"/>
  <c r="D29" i="3" s="1"/>
  <c r="E29" i="3" s="1"/>
  <c r="F29" i="3" s="1"/>
  <c r="G29" i="3" s="1"/>
  <c r="H29" i="3" s="1"/>
  <c r="I29" i="3" s="1"/>
  <c r="J29" i="3" s="1"/>
  <c r="K29" i="3" s="1"/>
  <c r="L29" i="3" s="1"/>
  <c r="M29" i="3" s="1"/>
  <c r="N29" i="3" s="1"/>
  <c r="O29" i="3" s="1"/>
  <c r="P29" i="3" s="1"/>
  <c r="Q29" i="3" s="1"/>
  <c r="R29" i="3" s="1"/>
  <c r="S29" i="3" s="1"/>
  <c r="T29" i="3" s="1"/>
  <c r="U29" i="3" s="1"/>
  <c r="V29" i="3" s="1"/>
  <c r="W29" i="3" s="1"/>
  <c r="X29" i="3" s="1"/>
  <c r="Y29" i="3" s="1"/>
  <c r="Z29" i="3" s="1"/>
  <c r="AA29" i="3" s="1"/>
  <c r="AB29" i="3" s="1"/>
  <c r="AC29" i="3" s="1"/>
  <c r="AD29" i="3" s="1"/>
  <c r="AE29" i="3" s="1"/>
  <c r="AF29" i="3" s="1"/>
  <c r="AG29" i="3" s="1"/>
  <c r="O26" i="4"/>
  <c r="C28" i="4"/>
  <c r="AH25" i="3"/>
  <c r="E31" i="5" l="1"/>
  <c r="D32" i="5"/>
  <c r="O28" i="4"/>
  <c r="K37" i="1" s="1"/>
  <c r="C30" i="4"/>
  <c r="D30" i="4" s="1"/>
  <c r="E30" i="4" s="1"/>
  <c r="F30" i="4" s="1"/>
  <c r="G30" i="4" s="1"/>
  <c r="H30" i="4" s="1"/>
  <c r="I30" i="4" s="1"/>
  <c r="J30" i="4" s="1"/>
  <c r="K30" i="4" s="1"/>
  <c r="L30" i="4" s="1"/>
  <c r="M30" i="4" s="1"/>
  <c r="N30" i="4" s="1"/>
  <c r="F31" i="5" l="1"/>
  <c r="E32" i="5"/>
  <c r="G31" i="5" l="1"/>
  <c r="F32" i="5"/>
  <c r="H31" i="5" l="1"/>
  <c r="G32" i="5"/>
  <c r="I31" i="5" l="1"/>
  <c r="H32" i="5"/>
  <c r="J31" i="5" l="1"/>
  <c r="I32" i="5"/>
  <c r="K31" i="5" l="1"/>
  <c r="J32" i="5"/>
  <c r="L31" i="5" l="1"/>
  <c r="K32" i="5"/>
  <c r="M31" i="5" l="1"/>
  <c r="L32" i="5"/>
  <c r="N31" i="5" l="1"/>
  <c r="M32" i="5"/>
  <c r="O31" i="5" l="1"/>
  <c r="N32" i="5"/>
  <c r="P31" i="5" l="1"/>
  <c r="O32" i="5"/>
  <c r="Q31" i="5" l="1"/>
  <c r="P32" i="5"/>
  <c r="R31" i="5" l="1"/>
  <c r="Q32" i="5"/>
  <c r="S31" i="5" l="1"/>
  <c r="R32" i="5"/>
  <c r="T31" i="5" l="1"/>
  <c r="S32" i="5"/>
  <c r="U31" i="5" l="1"/>
  <c r="T32" i="5"/>
  <c r="V31" i="5" l="1"/>
  <c r="V32" i="5" s="1"/>
  <c r="U32" i="5"/>
  <c r="W32" i="5" l="1"/>
  <c r="F33" i="1" s="1"/>
</calcChain>
</file>

<file path=xl/sharedStrings.xml><?xml version="1.0" encoding="utf-8"?>
<sst xmlns="http://schemas.openxmlformats.org/spreadsheetml/2006/main" count="212" uniqueCount="142">
  <si>
    <t>Proyecto de departamento en Aldea Tulum 2022</t>
  </si>
  <si>
    <t>Inversión en el departamento</t>
  </si>
  <si>
    <t>Amueblado del departamento</t>
  </si>
  <si>
    <t xml:space="preserve">Aire acondicionado </t>
  </si>
  <si>
    <t>Cocina</t>
  </si>
  <si>
    <t>Sala</t>
  </si>
  <si>
    <t>Recamara 1</t>
  </si>
  <si>
    <t>Recamara 2</t>
  </si>
  <si>
    <t>Baño</t>
  </si>
  <si>
    <t>Otro equipamiento</t>
  </si>
  <si>
    <t>Lavadora</t>
  </si>
  <si>
    <t>Total de amuablado</t>
  </si>
  <si>
    <t>Total de compra</t>
  </si>
  <si>
    <t>Alberca</t>
  </si>
  <si>
    <r>
      <t>Valor del departamento (Luum de 50m</t>
    </r>
    <r>
      <rPr>
        <vertAlign val="superscript"/>
        <sz val="12"/>
        <color theme="1"/>
        <rFont val="Calibri (Cuerpo)"/>
      </rPr>
      <t>2</t>
    </r>
    <r>
      <rPr>
        <sz val="12"/>
        <color theme="1"/>
        <rFont val="Calibri"/>
        <family val="2"/>
        <scheme val="minor"/>
      </rPr>
      <t>)</t>
    </r>
  </si>
  <si>
    <t>Ingresos por renta</t>
  </si>
  <si>
    <t>Total de inversión inicial</t>
  </si>
  <si>
    <t>Renta mensual</t>
  </si>
  <si>
    <t>Renta por noche</t>
  </si>
  <si>
    <t>Si</t>
  </si>
  <si>
    <t>No</t>
  </si>
  <si>
    <t>Meses rentado</t>
  </si>
  <si>
    <t>Noches rentado</t>
  </si>
  <si>
    <t>Ingreso anual</t>
  </si>
  <si>
    <t>Ingreso anual esperado</t>
  </si>
  <si>
    <t>Gastos de operación</t>
  </si>
  <si>
    <t>Herreria de seguridad en puerta y ventanas</t>
  </si>
  <si>
    <t>Internet</t>
  </si>
  <si>
    <t>Gastos de operación mensual</t>
  </si>
  <si>
    <t>Seguro de daños del departamento</t>
  </si>
  <si>
    <t>Energía eléctrica</t>
  </si>
  <si>
    <t>Suministro de agua</t>
  </si>
  <si>
    <t>Suministro de gas</t>
  </si>
  <si>
    <t>Tv (Sky)</t>
  </si>
  <si>
    <t>Impuesto predial</t>
  </si>
  <si>
    <t>Total de gastos de operación</t>
  </si>
  <si>
    <t>Mantenimiento de la alberca</t>
  </si>
  <si>
    <t>Gastos de plataforma</t>
  </si>
  <si>
    <t>Comision Booking [16%]</t>
  </si>
  <si>
    <t>Comision Airbnb [5.5%]</t>
  </si>
  <si>
    <t>Total de gastos de plataforma digital</t>
  </si>
  <si>
    <t>Impuesto sobre la renta (ISR) [4%]</t>
  </si>
  <si>
    <t>Impuesto al valor agregado (IVA) [8%]</t>
  </si>
  <si>
    <t>Gastos de administración</t>
  </si>
  <si>
    <t>Rentas, limpieza y blancos, concierge [20%]</t>
  </si>
  <si>
    <t>Total de gastos de plataforma y administración</t>
  </si>
  <si>
    <t>Ingreso anual con gastos de operación</t>
  </si>
  <si>
    <t>Gastos mensuales de pago de crédito</t>
  </si>
  <si>
    <t>Gastos notariales (8%)</t>
  </si>
  <si>
    <t>Pago del crédito</t>
  </si>
  <si>
    <t>Interés</t>
  </si>
  <si>
    <t>Seguro de vida</t>
  </si>
  <si>
    <t>Seguro de daños</t>
  </si>
  <si>
    <t>Comisión por administración</t>
  </si>
  <si>
    <t>Total de gasto mensual por crédito</t>
  </si>
  <si>
    <t>Total de gasto anual por crédito</t>
  </si>
  <si>
    <t>Balance Inicial</t>
  </si>
  <si>
    <t>Gastos de operación anual</t>
  </si>
  <si>
    <t>Gastos de plataformas anual</t>
  </si>
  <si>
    <t>Gastos de administración anual</t>
  </si>
  <si>
    <t>Gastos de credito anual</t>
  </si>
  <si>
    <t>Ingresos</t>
  </si>
  <si>
    <t>Datos de indicadores económicos</t>
  </si>
  <si>
    <t>Tasa de inflación anual</t>
  </si>
  <si>
    <t>Paridad peso-dólar</t>
  </si>
  <si>
    <t>Pronóstico de indicadores de turismo</t>
  </si>
  <si>
    <t>Hoteles existentes</t>
  </si>
  <si>
    <t>Turistas esperados</t>
  </si>
  <si>
    <t>Habitaciones ofertadas</t>
  </si>
  <si>
    <t>Datos de ventas de departamentos Aldea Tulum</t>
  </si>
  <si>
    <t>Creditos de infonavit pronosticados</t>
  </si>
  <si>
    <t>Pronostico de departamentos vendidos por créditos</t>
  </si>
  <si>
    <t>Pronóstico de departamentos nuevos para rentar</t>
  </si>
  <si>
    <t>Precio</t>
  </si>
  <si>
    <t>Evaluacion</t>
  </si>
  <si>
    <t>Distancia</t>
  </si>
  <si>
    <t>Ocupacion</t>
  </si>
  <si>
    <t>Datos de ocupacion esperada</t>
  </si>
  <si>
    <t>Precio por noche</t>
  </si>
  <si>
    <t>Evaluacion en plataforma</t>
  </si>
  <si>
    <t>Distancia al centro (m)</t>
  </si>
  <si>
    <t>Valor</t>
  </si>
  <si>
    <t>Probabilidad</t>
  </si>
  <si>
    <t>Complemento</t>
  </si>
  <si>
    <t>Exponencial</t>
  </si>
  <si>
    <t>Probabilidad de reserva del departamento</t>
  </si>
  <si>
    <t>Probabilidad de ocupación del departamento</t>
  </si>
  <si>
    <t>Porcentaje de ocupación temporada alta</t>
  </si>
  <si>
    <t>Porcentaje de ocupación temporada baja</t>
  </si>
  <si>
    <t>Temporada alta</t>
  </si>
  <si>
    <t>Porcentaje de ocupación hotelera esperado</t>
  </si>
  <si>
    <t>Reservación del departamento</t>
  </si>
  <si>
    <t>Ingreso por hospedaje por noche</t>
  </si>
  <si>
    <t>Promedio/Suma</t>
  </si>
  <si>
    <t>Egresos</t>
  </si>
  <si>
    <t>Gastos de plataforma digital anual</t>
  </si>
  <si>
    <t>Credito hipotecario</t>
  </si>
  <si>
    <t>Credito, seguros, intereses, comisiones</t>
  </si>
  <si>
    <t>Total de egresos por día</t>
  </si>
  <si>
    <t>Balance diario</t>
  </si>
  <si>
    <t>Flujos actualizados con la inflación</t>
  </si>
  <si>
    <t>Flujo actualizado mensual con inflación</t>
  </si>
  <si>
    <t>Enganche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</si>
  <si>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</si>
  <si>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</si>
  <si>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</si>
  <si>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</si>
  <si>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</si>
  <si>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</si>
  <si>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</si>
  <si>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</si>
  <si>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</si>
  <si>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</si>
  <si>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</si>
  <si>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</si>
  <si>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Noches de reservación del departamento</t>
  </si>
  <si>
    <t>Ingreso por hospedaje por mes</t>
  </si>
  <si>
    <t>Tarifa promedio por noche</t>
  </si>
  <si>
    <t>Total de egresos por mes</t>
  </si>
  <si>
    <t>Promedio/suma</t>
  </si>
  <si>
    <t>Tasa de inflación esperada</t>
  </si>
  <si>
    <t>Pago inicial</t>
  </si>
  <si>
    <t>Pago de contado o enganche de crédito</t>
  </si>
  <si>
    <t>Total de egresos por año</t>
  </si>
  <si>
    <t>Balance mensual</t>
  </si>
  <si>
    <t>Balance anual</t>
  </si>
  <si>
    <t>Excencion de pagos</t>
  </si>
  <si>
    <t>Flujo acumulado con la inflación</t>
  </si>
  <si>
    <t>Flujo acumulado con inflación</t>
  </si>
  <si>
    <t>Flujos actualizados con inflación</t>
  </si>
  <si>
    <t>Periodo de recuperación de capital</t>
  </si>
  <si>
    <t>Ganancia (pérdida) anual</t>
  </si>
  <si>
    <t>RESULTADOS</t>
  </si>
  <si>
    <t>VPN (20 años)</t>
  </si>
  <si>
    <t>Periodo de recuperación (años)</t>
  </si>
  <si>
    <t>Relación Beneficio/Costo</t>
  </si>
  <si>
    <t>Tasa de plusvalia anual</t>
  </si>
  <si>
    <t>Valor de reventa del departamento</t>
  </si>
  <si>
    <t>Noches ocupadas al mes</t>
  </si>
  <si>
    <t>Resultado mensual/anual</t>
  </si>
  <si>
    <t>Noches ocupadas al año</t>
  </si>
  <si>
    <t>Flujo actualizado anual con inflación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</si>
</sst>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;[Red]\-&quot;$&quot;#,##0.00"/>
    <numFmt numFmtId="44" formatCode="_-&quot;$&quot;* #,##0.00_-;\-&quot;$&quot;* #,##0.00_-;_-&quot;$&quot;* &quot;-&quot;??_-;_-@_-"/>
    <numFmt numFmtId="164" formatCode="0.0%"/>
  </numFmts>
  <fonts count="1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vertAlign val="superscript"/>
      <sz val="12"/>
      <color theme="1"/>
      <name val="Calibri (Cuerpo)"/>
    </font>
    <font>
      <b/>
      <sz val="12"/>
      <color theme="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9"/>
      <name val="Calibri"/>
      <family val="2"/>
      <scheme val="minor"/>
    </font>
    <font>
      <sz val="12"/>
      <color theme="7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0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thin">
        <color indexed="64"/>
      </left>
      <right/>
      <top style="thin">
        <color theme="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4">
    <xf numFmtId="0" fontId="0" fillId="0" borderId="0" xfId="0"/>
    <xf numFmtId="0" fontId="3" fillId="0" borderId="0" xfId="0" applyFont="1"/>
    <xf numFmtId="0" fontId="0" fillId="0" borderId="1" xfId="0" applyBorder="1"/>
    <xf numFmtId="44" fontId="0" fillId="2" borderId="1" xfId="1" applyFont="1" applyFill="1" applyBorder="1"/>
    <xf numFmtId="44" fontId="0" fillId="0" borderId="1" xfId="0" applyNumberFormat="1" applyBorder="1"/>
    <xf numFmtId="9" fontId="0" fillId="2" borderId="1" xfId="2" applyFont="1" applyFill="1" applyBorder="1"/>
    <xf numFmtId="0" fontId="2" fillId="3" borderId="1" xfId="0" applyFont="1" applyFill="1" applyBorder="1"/>
    <xf numFmtId="0" fontId="2" fillId="3" borderId="0" xfId="0" applyFont="1" applyFill="1"/>
    <xf numFmtId="0" fontId="0" fillId="2" borderId="1" xfId="0" applyFill="1" applyBorder="1"/>
    <xf numFmtId="44" fontId="3" fillId="0" borderId="1" xfId="0" applyNumberFormat="1" applyFont="1" applyBorder="1"/>
    <xf numFmtId="0" fontId="6" fillId="3" borderId="0" xfId="0" applyFont="1" applyFill="1"/>
    <xf numFmtId="44" fontId="1" fillId="2" borderId="1" xfId="1" applyFont="1" applyFill="1" applyBorder="1"/>
    <xf numFmtId="44" fontId="3" fillId="0" borderId="1" xfId="1" applyFont="1" applyBorder="1"/>
    <xf numFmtId="0" fontId="2" fillId="3" borderId="0" xfId="0" applyFont="1" applyFill="1" applyBorder="1"/>
    <xf numFmtId="0" fontId="0" fillId="4" borderId="1" xfId="0" applyFont="1" applyFill="1" applyBorder="1"/>
    <xf numFmtId="164" fontId="0" fillId="2" borderId="1" xfId="2" applyNumberFormat="1" applyFont="1" applyFill="1" applyBorder="1"/>
    <xf numFmtId="0" fontId="0" fillId="0" borderId="1" xfId="0" applyFill="1" applyBorder="1"/>
    <xf numFmtId="0" fontId="3" fillId="0" borderId="1" xfId="0" applyFont="1" applyFill="1" applyBorder="1"/>
    <xf numFmtId="44" fontId="3" fillId="0" borderId="1" xfId="0" applyNumberFormat="1" applyFont="1" applyFill="1" applyBorder="1"/>
    <xf numFmtId="0" fontId="0" fillId="0" borderId="0" xfId="0" applyBorder="1"/>
    <xf numFmtId="0" fontId="0" fillId="4" borderId="1" xfId="0" applyFill="1" applyBorder="1"/>
    <xf numFmtId="0" fontId="0" fillId="4" borderId="0" xfId="0" applyFill="1" applyBorder="1"/>
    <xf numFmtId="44" fontId="1" fillId="2" borderId="2" xfId="1" applyFont="1" applyFill="1" applyBorder="1"/>
    <xf numFmtId="0" fontId="0" fillId="0" borderId="4" xfId="0" applyBorder="1"/>
    <xf numFmtId="0" fontId="0" fillId="0" borderId="5" xfId="0" applyBorder="1"/>
    <xf numFmtId="44" fontId="3" fillId="0" borderId="6" xfId="0" applyNumberFormat="1" applyFont="1" applyBorder="1"/>
    <xf numFmtId="1" fontId="0" fillId="0" borderId="1" xfId="0" applyNumberFormat="1" applyBorder="1"/>
    <xf numFmtId="0" fontId="2" fillId="5" borderId="1" xfId="0" applyFont="1" applyFill="1" applyBorder="1"/>
    <xf numFmtId="0" fontId="0" fillId="2" borderId="6" xfId="0" applyFill="1" applyBorder="1"/>
    <xf numFmtId="0" fontId="0" fillId="6" borderId="1" xfId="0" applyFont="1" applyFill="1" applyBorder="1"/>
    <xf numFmtId="44" fontId="0" fillId="6" borderId="1" xfId="0" applyNumberFormat="1" applyFont="1" applyFill="1" applyBorder="1"/>
    <xf numFmtId="11" fontId="0" fillId="2" borderId="1" xfId="0" applyNumberFormat="1" applyFont="1" applyFill="1" applyBorder="1"/>
    <xf numFmtId="0" fontId="0" fillId="2" borderId="1" xfId="0" applyFont="1" applyFill="1" applyBorder="1"/>
    <xf numFmtId="9" fontId="0" fillId="0" borderId="1" xfId="2" applyFont="1" applyBorder="1"/>
    <xf numFmtId="0" fontId="0" fillId="0" borderId="1" xfId="2" applyNumberFormat="1" applyFont="1" applyBorder="1"/>
    <xf numFmtId="9" fontId="3" fillId="0" borderId="1" xfId="2" applyFont="1" applyBorder="1"/>
    <xf numFmtId="9" fontId="0" fillId="0" borderId="1" xfId="0" applyNumberFormat="1" applyBorder="1"/>
    <xf numFmtId="9" fontId="7" fillId="0" borderId="6" xfId="0" applyNumberFormat="1" applyFont="1" applyBorder="1"/>
    <xf numFmtId="9" fontId="7" fillId="0" borderId="7" xfId="0" applyNumberFormat="1" applyFont="1" applyBorder="1"/>
    <xf numFmtId="9" fontId="0" fillId="0" borderId="2" xfId="0" applyNumberFormat="1" applyBorder="1"/>
    <xf numFmtId="0" fontId="0" fillId="0" borderId="2" xfId="0" applyBorder="1"/>
    <xf numFmtId="0" fontId="0" fillId="0" borderId="3" xfId="0" applyBorder="1"/>
    <xf numFmtId="9" fontId="7" fillId="0" borderId="10" xfId="0" applyNumberFormat="1" applyFont="1" applyBorder="1"/>
    <xf numFmtId="0" fontId="0" fillId="0" borderId="12" xfId="0" applyBorder="1"/>
    <xf numFmtId="0" fontId="4" fillId="3" borderId="9" xfId="0" applyFont="1" applyFill="1" applyBorder="1"/>
    <xf numFmtId="0" fontId="0" fillId="0" borderId="14" xfId="0" applyBorder="1"/>
    <xf numFmtId="44" fontId="0" fillId="0" borderId="6" xfId="0" applyNumberFormat="1" applyBorder="1"/>
    <xf numFmtId="44" fontId="0" fillId="0" borderId="12" xfId="0" applyNumberFormat="1" applyBorder="1"/>
    <xf numFmtId="44" fontId="0" fillId="0" borderId="12" xfId="1" applyFont="1" applyBorder="1"/>
    <xf numFmtId="0" fontId="4" fillId="3" borderId="11" xfId="0" applyFont="1" applyFill="1" applyBorder="1" applyAlignment="1">
      <alignment horizontal="center"/>
    </xf>
    <xf numFmtId="0" fontId="0" fillId="0" borderId="15" xfId="0" applyBorder="1"/>
    <xf numFmtId="0" fontId="0" fillId="0" borderId="16" xfId="0" applyFill="1" applyBorder="1"/>
    <xf numFmtId="44" fontId="0" fillId="0" borderId="16" xfId="1" applyFont="1" applyBorder="1"/>
    <xf numFmtId="0" fontId="3" fillId="0" borderId="12" xfId="0" applyFont="1" applyFill="1" applyBorder="1"/>
    <xf numFmtId="44" fontId="3" fillId="0" borderId="12" xfId="0" applyNumberFormat="1" applyFont="1" applyBorder="1"/>
    <xf numFmtId="44" fontId="3" fillId="0" borderId="12" xfId="1" applyFont="1" applyBorder="1"/>
    <xf numFmtId="0" fontId="2" fillId="3" borderId="12" xfId="0" applyFont="1" applyFill="1" applyBorder="1"/>
    <xf numFmtId="8" fontId="3" fillId="0" borderId="12" xfId="0" applyNumberFormat="1" applyFont="1" applyBorder="1"/>
    <xf numFmtId="44" fontId="0" fillId="2" borderId="5" xfId="1" applyFont="1" applyFill="1" applyBorder="1"/>
    <xf numFmtId="9" fontId="0" fillId="2" borderId="12" xfId="0" applyNumberFormat="1" applyFill="1" applyBorder="1"/>
    <xf numFmtId="0" fontId="4" fillId="3" borderId="0" xfId="0" applyFont="1" applyFill="1"/>
    <xf numFmtId="0" fontId="8" fillId="3" borderId="0" xfId="0" applyFont="1" applyFill="1"/>
    <xf numFmtId="0" fontId="9" fillId="3" borderId="0" xfId="0" applyFont="1" applyFill="1"/>
    <xf numFmtId="0" fontId="10" fillId="3" borderId="0" xfId="0" applyFont="1" applyFill="1"/>
    <xf numFmtId="44" fontId="0" fillId="0" borderId="0" xfId="0" applyNumberFormat="1"/>
    <xf numFmtId="0" fontId="0" fillId="0" borderId="6" xfId="0" applyBorder="1"/>
    <xf numFmtId="0" fontId="0" fillId="0" borderId="19" xfId="0" applyBorder="1"/>
    <xf numFmtId="0" fontId="0" fillId="0" borderId="20" xfId="0" applyBorder="1"/>
    <xf numFmtId="0" fontId="0" fillId="0" borderId="2" xfId="0" applyFill="1" applyBorder="1"/>
    <xf numFmtId="0" fontId="0" fillId="0" borderId="2" xfId="0" applyFont="1" applyFill="1" applyBorder="1"/>
    <xf numFmtId="0" fontId="3" fillId="0" borderId="2" xfId="0" applyFont="1" applyFill="1" applyBorder="1"/>
    <xf numFmtId="9" fontId="0" fillId="0" borderId="12" xfId="2" applyFont="1" applyBorder="1"/>
    <xf numFmtId="9" fontId="0" fillId="0" borderId="12" xfId="0" applyNumberFormat="1" applyBorder="1"/>
    <xf numFmtId="0" fontId="0" fillId="4" borderId="2" xfId="0" applyFont="1" applyFill="1" applyBorder="1"/>
    <xf numFmtId="0" fontId="0" fillId="0" borderId="7" xfId="0" applyBorder="1"/>
    <xf numFmtId="44" fontId="0" fillId="0" borderId="5" xfId="0" applyNumberFormat="1" applyBorder="1"/>
    <xf numFmtId="44" fontId="0" fillId="0" borderId="19" xfId="0" applyNumberFormat="1" applyBorder="1"/>
    <xf numFmtId="44" fontId="0" fillId="0" borderId="20" xfId="0" applyNumberFormat="1" applyBorder="1"/>
    <xf numFmtId="44" fontId="0" fillId="0" borderId="2" xfId="0" applyNumberFormat="1" applyBorder="1"/>
    <xf numFmtId="44" fontId="0" fillId="0" borderId="7" xfId="0" applyNumberFormat="1" applyBorder="1"/>
    <xf numFmtId="44" fontId="0" fillId="0" borderId="21" xfId="1" applyFont="1" applyBorder="1"/>
    <xf numFmtId="44" fontId="3" fillId="0" borderId="19" xfId="0" applyNumberFormat="1" applyFont="1" applyBorder="1"/>
    <xf numFmtId="44" fontId="3" fillId="4" borderId="12" xfId="0" applyNumberFormat="1" applyFont="1" applyFill="1" applyBorder="1"/>
    <xf numFmtId="8" fontId="3" fillId="0" borderId="19" xfId="0" applyNumberFormat="1" applyFont="1" applyBorder="1"/>
    <xf numFmtId="44" fontId="2" fillId="3" borderId="22" xfId="1" applyFont="1" applyFill="1" applyBorder="1"/>
    <xf numFmtId="8" fontId="3" fillId="0" borderId="22" xfId="0" applyNumberFormat="1" applyFont="1" applyBorder="1"/>
    <xf numFmtId="44" fontId="3" fillId="0" borderId="12" xfId="0" applyNumberFormat="1" applyFont="1" applyFill="1" applyBorder="1"/>
    <xf numFmtId="0" fontId="0" fillId="0" borderId="12" xfId="0" applyFill="1" applyBorder="1"/>
    <xf numFmtId="44" fontId="0" fillId="0" borderId="12" xfId="1" applyFont="1" applyFill="1" applyBorder="1"/>
    <xf numFmtId="44" fontId="3" fillId="0" borderId="12" xfId="1" applyFont="1" applyFill="1" applyBorder="1"/>
    <xf numFmtId="9" fontId="0" fillId="2" borderId="6" xfId="2" applyFont="1" applyFill="1" applyBorder="1"/>
    <xf numFmtId="0" fontId="3" fillId="4" borderId="12" xfId="0" applyFont="1" applyFill="1" applyBorder="1"/>
    <xf numFmtId="0" fontId="0" fillId="0" borderId="7" xfId="0" applyFill="1" applyBorder="1"/>
    <xf numFmtId="0" fontId="0" fillId="0" borderId="16" xfId="0" applyBorder="1"/>
    <xf numFmtId="0" fontId="3" fillId="0" borderId="20" xfId="0" applyFont="1" applyFill="1" applyBorder="1"/>
    <xf numFmtId="0" fontId="0" fillId="0" borderId="12" xfId="0" applyFont="1" applyFill="1" applyBorder="1"/>
    <xf numFmtId="0" fontId="0" fillId="4" borderId="12" xfId="0" applyFont="1" applyFill="1" applyBorder="1"/>
    <xf numFmtId="44" fontId="0" fillId="0" borderId="2" xfId="1" applyFont="1" applyBorder="1"/>
    <xf numFmtId="44" fontId="0" fillId="0" borderId="7" xfId="1" applyFont="1" applyBorder="1"/>
    <xf numFmtId="44" fontId="0" fillId="0" borderId="19" xfId="1" applyFont="1" applyBorder="1"/>
    <xf numFmtId="0" fontId="0" fillId="2" borderId="12" xfId="0" applyFill="1" applyBorder="1"/>
    <xf numFmtId="9" fontId="0" fillId="0" borderId="12" xfId="0" applyNumberFormat="1" applyFont="1" applyBorder="1"/>
    <xf numFmtId="0" fontId="0" fillId="2" borderId="15" xfId="0" applyFill="1" applyBorder="1"/>
    <xf numFmtId="44" fontId="3" fillId="0" borderId="22" xfId="0" applyNumberFormat="1" applyFont="1" applyBorder="1"/>
    <xf numFmtId="44" fontId="3" fillId="0" borderId="16" xfId="0" applyNumberFormat="1" applyFont="1" applyBorder="1"/>
    <xf numFmtId="0" fontId="4" fillId="3" borderId="12" xfId="0" applyFont="1" applyFill="1" applyBorder="1"/>
    <xf numFmtId="44" fontId="3" fillId="0" borderId="2" xfId="0" applyNumberFormat="1" applyFont="1" applyBorder="1"/>
    <xf numFmtId="0" fontId="0" fillId="2" borderId="22" xfId="0" applyFill="1" applyBorder="1"/>
    <xf numFmtId="0" fontId="0" fillId="4" borderId="24" xfId="0" applyFont="1" applyFill="1" applyBorder="1"/>
    <xf numFmtId="44" fontId="0" fillId="2" borderId="24" xfId="1" applyFont="1" applyFill="1" applyBorder="1"/>
    <xf numFmtId="44" fontId="3" fillId="7" borderId="12" xfId="0" applyNumberFormat="1" applyFont="1" applyFill="1" applyBorder="1"/>
    <xf numFmtId="0" fontId="3" fillId="7" borderId="12" xfId="0" applyFont="1" applyFill="1" applyBorder="1"/>
    <xf numFmtId="2" fontId="3" fillId="7" borderId="12" xfId="0" applyNumberFormat="1" applyFont="1" applyFill="1" applyBorder="1"/>
    <xf numFmtId="44" fontId="3" fillId="4" borderId="12" xfId="1" applyFont="1" applyFill="1" applyBorder="1"/>
    <xf numFmtId="0" fontId="4" fillId="3" borderId="8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4" fillId="3" borderId="13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3" borderId="17" xfId="0" applyFont="1" applyFill="1" applyBorder="1" applyAlignment="1">
      <alignment horizontal="center" vertical="center"/>
    </xf>
    <xf numFmtId="0" fontId="4" fillId="3" borderId="18" xfId="0" applyFont="1" applyFill="1" applyBorder="1" applyAlignment="1">
      <alignment horizontal="center" vertical="center"/>
    </xf>
    <xf numFmtId="0" fontId="4" fillId="3" borderId="23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</cellXfs>
  <cellStyles count="3">
    <cellStyle name="Moneda" xfId="1" builtinId="4"/>
    <cellStyle name="Normal" xfId="0" builtinId="0"/>
    <cellStyle name="Porcentaje" xfId="2" builtinId="5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61F09-7D25-534B-9C2F-88C7A2D658B9}">
  <sheetPr>
    <tabColor theme="1"/>
  </sheetPr>
  <dimension ref="A1:L41"/>
  <sheetViews>
    <sheetView tabSelected="1" zoomScale="85" zoomScaleNormal="85" workbookViewId="0">
      <selection activeCell="G4" sqref="G4"/>
    </sheetView>
  </sheetViews>
  <sheetFormatPr baseColWidth="10" defaultRowHeight="15.6"/>
  <cols>
    <col min="1" max="1" width="44" bestFit="1" customWidth="1"/>
    <col min="2" max="2" width="13.69921875" bestFit="1" customWidth="1"/>
    <col min="3" max="3" width="4.69921875" bestFit="1" customWidth="1"/>
    <col min="4" max="4" width="2.5" customWidth="1"/>
    <col min="5" max="5" width="33.5" bestFit="1" customWidth="1"/>
    <col min="6" max="6" width="14.5" bestFit="1" customWidth="1"/>
    <col min="7" max="7" width="3.5" bestFit="1" customWidth="1"/>
    <col min="8" max="8" width="3.5" customWidth="1"/>
    <col min="9" max="9" width="3.5" bestFit="1" customWidth="1"/>
    <col min="10" max="10" width="41" bestFit="1" customWidth="1"/>
    <col min="11" max="11" width="21.5" bestFit="1" customWidth="1"/>
    <col min="12" max="12" width="6.19921875" bestFit="1" customWidth="1"/>
  </cols>
  <sheetData>
    <row r="1" spans="1:12">
      <c r="A1" s="10" t="s">
        <v>0</v>
      </c>
    </row>
    <row r="2" spans="1:12">
      <c r="A2" s="1"/>
    </row>
    <row r="3" spans="1:12">
      <c r="A3" s="6" t="s">
        <v>1</v>
      </c>
      <c r="E3" s="10" t="s">
        <v>15</v>
      </c>
      <c r="J3" s="7" t="s">
        <v>95</v>
      </c>
    </row>
    <row r="4" spans="1:12" ht="18">
      <c r="A4" s="2" t="s">
        <v>14</v>
      </c>
      <c r="B4" s="3">
        <v>525000</v>
      </c>
      <c r="E4" s="2" t="s">
        <v>17</v>
      </c>
      <c r="F4" s="22">
        <v>16000</v>
      </c>
      <c r="G4" s="8" t="s">
        <v>20</v>
      </c>
      <c r="H4" s="21"/>
      <c r="I4" s="8" t="s">
        <v>19</v>
      </c>
      <c r="J4" s="23" t="s">
        <v>39</v>
      </c>
      <c r="K4" s="4">
        <f>$F$8*L4</f>
        <v>20075</v>
      </c>
      <c r="L4" s="15">
        <f>IF(I4="Si",0.055,0.16)</f>
        <v>5.5E-2</v>
      </c>
    </row>
    <row r="5" spans="1:12">
      <c r="A5" s="2" t="s">
        <v>13</v>
      </c>
      <c r="B5" s="3">
        <v>70000</v>
      </c>
      <c r="E5" s="2" t="s">
        <v>21</v>
      </c>
      <c r="F5" s="8">
        <v>12</v>
      </c>
      <c r="I5" s="24" t="str">
        <f>IF(I4="Si","No","Si")</f>
        <v>No</v>
      </c>
      <c r="J5" s="2" t="s">
        <v>38</v>
      </c>
      <c r="K5" s="4">
        <f t="shared" ref="K5:K7" si="0">$F$8*L5</f>
        <v>58400</v>
      </c>
      <c r="L5" s="15">
        <v>0.16</v>
      </c>
    </row>
    <row r="6" spans="1:12">
      <c r="A6" s="2" t="s">
        <v>48</v>
      </c>
      <c r="B6" s="4">
        <f>B4*C6</f>
        <v>42000</v>
      </c>
      <c r="C6" s="5">
        <v>0.08</v>
      </c>
      <c r="E6" s="2" t="s">
        <v>18</v>
      </c>
      <c r="F6" s="11">
        <v>1000</v>
      </c>
      <c r="G6" s="2" t="str">
        <f>IF(G4="Si","No","Si")</f>
        <v>Si</v>
      </c>
      <c r="H6" s="19"/>
      <c r="J6" s="2" t="s">
        <v>41</v>
      </c>
      <c r="K6" s="4">
        <f t="shared" si="0"/>
        <v>14600</v>
      </c>
      <c r="L6" s="15">
        <v>0.04</v>
      </c>
    </row>
    <row r="7" spans="1:12">
      <c r="A7" s="6" t="s">
        <v>12</v>
      </c>
      <c r="B7" s="9">
        <f>SUM(B4:B6)</f>
        <v>637000</v>
      </c>
      <c r="E7" s="2" t="s">
        <v>22</v>
      </c>
      <c r="F7" s="8">
        <v>365</v>
      </c>
      <c r="J7" s="2" t="s">
        <v>42</v>
      </c>
      <c r="K7" s="4">
        <f t="shared" si="0"/>
        <v>29200</v>
      </c>
      <c r="L7" s="15">
        <v>0.08</v>
      </c>
    </row>
    <row r="8" spans="1:12">
      <c r="E8" s="7" t="s">
        <v>24</v>
      </c>
      <c r="F8" s="12">
        <f>IF(G4="Si",F4*F5,F6*F7)</f>
        <v>365000</v>
      </c>
      <c r="J8" s="6" t="s">
        <v>40</v>
      </c>
      <c r="K8" s="18">
        <f>IF(I4="Si",K4+K6+K7,K5+K6+K7)</f>
        <v>63875</v>
      </c>
    </row>
    <row r="9" spans="1:12">
      <c r="A9" s="7" t="s">
        <v>2</v>
      </c>
    </row>
    <row r="10" spans="1:12">
      <c r="A10" s="2" t="s">
        <v>3</v>
      </c>
      <c r="B10" s="3">
        <f>15000*C10</f>
        <v>30000</v>
      </c>
      <c r="C10" s="8">
        <v>2</v>
      </c>
      <c r="E10" s="7" t="s">
        <v>28</v>
      </c>
      <c r="J10" s="7" t="s">
        <v>59</v>
      </c>
    </row>
    <row r="11" spans="1:12">
      <c r="A11" s="2" t="s">
        <v>4</v>
      </c>
      <c r="B11" s="3">
        <v>30000</v>
      </c>
      <c r="E11" s="2" t="s">
        <v>27</v>
      </c>
      <c r="F11" s="3">
        <v>500</v>
      </c>
      <c r="J11" s="2" t="s">
        <v>44</v>
      </c>
      <c r="K11" s="25">
        <f>F8*L11</f>
        <v>73000</v>
      </c>
      <c r="L11" s="15">
        <v>0.2</v>
      </c>
    </row>
    <row r="12" spans="1:12">
      <c r="A12" s="2" t="s">
        <v>5</v>
      </c>
      <c r="B12" s="3">
        <v>20000</v>
      </c>
      <c r="E12" s="14" t="s">
        <v>29</v>
      </c>
      <c r="F12" s="3">
        <v>150</v>
      </c>
      <c r="J12" s="7" t="s">
        <v>45</v>
      </c>
      <c r="K12" s="9">
        <f>K8+K11</f>
        <v>136875</v>
      </c>
    </row>
    <row r="13" spans="1:12">
      <c r="A13" s="2" t="s">
        <v>6</v>
      </c>
      <c r="B13" s="3">
        <v>10000</v>
      </c>
      <c r="E13" s="2" t="s">
        <v>36</v>
      </c>
      <c r="F13" s="3">
        <v>500</v>
      </c>
    </row>
    <row r="14" spans="1:12">
      <c r="A14" s="2" t="s">
        <v>7</v>
      </c>
      <c r="B14" s="3">
        <v>10000</v>
      </c>
      <c r="E14" s="2" t="s">
        <v>30</v>
      </c>
      <c r="F14" s="3">
        <v>300</v>
      </c>
      <c r="J14" s="7" t="s">
        <v>47</v>
      </c>
    </row>
    <row r="15" spans="1:12">
      <c r="A15" s="2" t="s">
        <v>8</v>
      </c>
      <c r="B15" s="3">
        <v>5000</v>
      </c>
      <c r="E15" s="2" t="s">
        <v>31</v>
      </c>
      <c r="F15" s="3">
        <v>200</v>
      </c>
      <c r="J15" s="43" t="s">
        <v>102</v>
      </c>
      <c r="K15" s="47">
        <f>B7*L15</f>
        <v>191100</v>
      </c>
      <c r="L15" s="59">
        <v>0.3</v>
      </c>
    </row>
    <row r="16" spans="1:12">
      <c r="A16" s="2" t="s">
        <v>10</v>
      </c>
      <c r="B16" s="3">
        <v>10000</v>
      </c>
      <c r="E16" s="2" t="s">
        <v>32</v>
      </c>
      <c r="F16" s="3">
        <v>250</v>
      </c>
      <c r="J16" s="24" t="s">
        <v>49</v>
      </c>
      <c r="K16" s="58">
        <v>799.31</v>
      </c>
    </row>
    <row r="17" spans="1:12">
      <c r="A17" s="2" t="s">
        <v>26</v>
      </c>
      <c r="B17" s="3">
        <v>14000</v>
      </c>
      <c r="E17" s="2" t="s">
        <v>33</v>
      </c>
      <c r="F17" s="3">
        <v>250</v>
      </c>
      <c r="J17" s="14" t="s">
        <v>50</v>
      </c>
      <c r="K17" s="3">
        <v>3061.25</v>
      </c>
    </row>
    <row r="18" spans="1:12">
      <c r="A18" s="2" t="s">
        <v>9</v>
      </c>
      <c r="B18" s="3">
        <v>1000</v>
      </c>
      <c r="E18" s="2" t="s">
        <v>34</v>
      </c>
      <c r="F18" s="3">
        <v>200</v>
      </c>
      <c r="J18" s="2" t="s">
        <v>51</v>
      </c>
      <c r="K18" s="3">
        <v>279</v>
      </c>
    </row>
    <row r="19" spans="1:12">
      <c r="A19" s="6" t="s">
        <v>11</v>
      </c>
      <c r="B19" s="4">
        <f>SUM(B10:B18)</f>
        <v>130000</v>
      </c>
      <c r="E19" s="6" t="s">
        <v>35</v>
      </c>
      <c r="F19" s="9">
        <f>SUM(F11:F18)</f>
        <v>2350</v>
      </c>
      <c r="J19" s="2" t="s">
        <v>52</v>
      </c>
      <c r="K19" s="3">
        <v>145.63</v>
      </c>
    </row>
    <row r="20" spans="1:12" ht="16.2" thickBot="1">
      <c r="A20" s="7" t="s">
        <v>16</v>
      </c>
      <c r="B20" s="9">
        <f>B7+B19</f>
        <v>767000</v>
      </c>
      <c r="J20" s="2" t="s">
        <v>53</v>
      </c>
      <c r="K20" s="3">
        <v>139.5</v>
      </c>
    </row>
    <row r="21" spans="1:12" ht="16.2" thickBot="1">
      <c r="E21" s="6" t="s">
        <v>46</v>
      </c>
      <c r="F21" s="9">
        <f>F8-12*F19</f>
        <v>336800</v>
      </c>
      <c r="J21" s="6" t="s">
        <v>54</v>
      </c>
      <c r="K21" s="106">
        <f>IF(L21="Si",SUM(K16:K20),0)</f>
        <v>4424.6899999999996</v>
      </c>
      <c r="L21" s="107" t="s">
        <v>19</v>
      </c>
    </row>
    <row r="22" spans="1:12">
      <c r="A22" s="13" t="s">
        <v>62</v>
      </c>
      <c r="J22" s="6" t="s">
        <v>55</v>
      </c>
      <c r="K22" s="9">
        <f>K21*12</f>
        <v>53096.28</v>
      </c>
    </row>
    <row r="23" spans="1:12">
      <c r="A23" s="65" t="s">
        <v>63</v>
      </c>
      <c r="B23" s="90">
        <v>7.0000000000000007E-2</v>
      </c>
      <c r="E23" s="13" t="s">
        <v>56</v>
      </c>
    </row>
    <row r="24" spans="1:12">
      <c r="A24" s="91" t="s">
        <v>120</v>
      </c>
      <c r="B24" s="71">
        <f ca="1">NORMINV(RAND(), 4.205, 1.68)/100</f>
        <v>2.1519176509338846E-2</v>
      </c>
      <c r="E24" s="29" t="s">
        <v>23</v>
      </c>
      <c r="F24" s="30">
        <f>F8</f>
        <v>365000</v>
      </c>
      <c r="J24" s="13" t="s">
        <v>77</v>
      </c>
    </row>
    <row r="25" spans="1:12">
      <c r="A25" s="108" t="s">
        <v>64</v>
      </c>
      <c r="B25" s="109">
        <v>20.04</v>
      </c>
      <c r="E25" s="29" t="s">
        <v>57</v>
      </c>
      <c r="F25" s="30">
        <f>F19*12</f>
        <v>28200</v>
      </c>
      <c r="J25" s="2" t="s">
        <v>78</v>
      </c>
      <c r="K25" s="4">
        <f>F6</f>
        <v>1000</v>
      </c>
    </row>
    <row r="26" spans="1:12">
      <c r="A26" s="43" t="s">
        <v>136</v>
      </c>
      <c r="B26" s="59">
        <v>0.08</v>
      </c>
      <c r="E26" s="29" t="s">
        <v>58</v>
      </c>
      <c r="F26" s="30">
        <f>K8</f>
        <v>63875</v>
      </c>
      <c r="J26" s="14" t="s">
        <v>79</v>
      </c>
      <c r="K26" s="8">
        <v>7.9</v>
      </c>
    </row>
    <row r="27" spans="1:12">
      <c r="E27" s="29" t="s">
        <v>59</v>
      </c>
      <c r="F27" s="30">
        <f>K12</f>
        <v>136875</v>
      </c>
      <c r="J27" s="2" t="s">
        <v>80</v>
      </c>
      <c r="K27" s="8">
        <v>7200</v>
      </c>
    </row>
    <row r="28" spans="1:12">
      <c r="A28" s="6" t="s">
        <v>65</v>
      </c>
      <c r="B28" s="8">
        <v>2022</v>
      </c>
      <c r="E28" s="29" t="s">
        <v>60</v>
      </c>
      <c r="F28" s="30">
        <f>K22</f>
        <v>53096.28</v>
      </c>
      <c r="G28" s="8" t="s">
        <v>19</v>
      </c>
      <c r="J28" s="16" t="s">
        <v>85</v>
      </c>
      <c r="K28" s="33">
        <f>LOGIT!H105</f>
        <v>0.90527621270151815</v>
      </c>
    </row>
    <row r="29" spans="1:12">
      <c r="A29" s="2" t="s">
        <v>67</v>
      </c>
      <c r="B29" s="2">
        <f>67680*B28-131400000</f>
        <v>5448960</v>
      </c>
      <c r="E29" s="27" t="s">
        <v>131</v>
      </c>
      <c r="F29" s="12">
        <f>IF(G28="Si",F24-F25-F26-F27-F28,F24-F25-F26-F27)</f>
        <v>82953.72</v>
      </c>
      <c r="J29" s="16" t="s">
        <v>88</v>
      </c>
      <c r="K29" s="33">
        <f ca="1">NORMINV(RAND(),30.2226,3.64451 )/100</f>
        <v>0.2681173866307841</v>
      </c>
      <c r="L29" s="2" t="str">
        <f>IF(L30="Si","No","Si")</f>
        <v>No</v>
      </c>
    </row>
    <row r="30" spans="1:12">
      <c r="A30" s="2" t="s">
        <v>66</v>
      </c>
      <c r="B30" s="26">
        <f>3.5*B28-6914</f>
        <v>163</v>
      </c>
      <c r="J30" s="16" t="s">
        <v>87</v>
      </c>
      <c r="K30" s="33">
        <f ca="1">NORMINV(RAND(),82.0097,5.52518 )/100</f>
        <v>0.80769413373406707</v>
      </c>
      <c r="L30" s="8" t="s">
        <v>19</v>
      </c>
    </row>
    <row r="31" spans="1:12">
      <c r="A31" s="2" t="s">
        <v>68</v>
      </c>
      <c r="B31" s="26">
        <f>348.8*B28-696400</f>
        <v>8873.5999999999767</v>
      </c>
      <c r="E31" s="13" t="s">
        <v>132</v>
      </c>
      <c r="J31" s="6" t="s">
        <v>86</v>
      </c>
      <c r="K31" s="35">
        <f ca="1">IF(L30="Si",K28*K30,K28*K29)</f>
        <v>0.73118628640800976</v>
      </c>
    </row>
    <row r="32" spans="1:12">
      <c r="E32" s="43" t="s">
        <v>133</v>
      </c>
      <c r="F32" s="110">
        <f ca="1">FLUJO_ANUAL!W29</f>
        <v>873019.01160352747</v>
      </c>
    </row>
    <row r="33" spans="1:11">
      <c r="A33" s="7" t="s">
        <v>69</v>
      </c>
      <c r="B33" s="28">
        <v>2022</v>
      </c>
      <c r="E33" s="43" t="s">
        <v>134</v>
      </c>
      <c r="F33" s="111">
        <f ca="1">FLUJO_ANUAL!W32</f>
        <v>3</v>
      </c>
      <c r="J33" s="7" t="s">
        <v>139</v>
      </c>
    </row>
    <row r="34" spans="1:11">
      <c r="A34" s="2" t="s">
        <v>70</v>
      </c>
      <c r="B34" s="2">
        <f>287*B33-578100</f>
        <v>2214</v>
      </c>
      <c r="E34" s="87" t="s">
        <v>135</v>
      </c>
      <c r="F34" s="112">
        <f ca="1">FLUJO_ANUAL!W8/FLUJO_ANUAL!W25</f>
        <v>1.6581033082036714</v>
      </c>
      <c r="J34" s="43" t="s">
        <v>138</v>
      </c>
      <c r="K34" s="43">
        <f ca="1">FLUJOS_DIARIOS!AH6</f>
        <v>22</v>
      </c>
    </row>
    <row r="35" spans="1:11">
      <c r="A35" s="2" t="s">
        <v>71</v>
      </c>
      <c r="B35" s="2">
        <f>B34*C35</f>
        <v>1107</v>
      </c>
      <c r="C35" s="5">
        <v>0.5</v>
      </c>
      <c r="E35" s="87" t="s">
        <v>137</v>
      </c>
      <c r="F35" s="110">
        <f>B4*(1+B26)^20</f>
        <v>2447002.5005208859</v>
      </c>
      <c r="J35" s="43" t="s">
        <v>101</v>
      </c>
      <c r="K35" s="113">
        <f ca="1">FLUJOS_DIARIOS!AH27</f>
        <v>6953.4742752963775</v>
      </c>
    </row>
    <row r="36" spans="1:11">
      <c r="A36" s="2" t="s">
        <v>72</v>
      </c>
      <c r="B36" s="26">
        <f>B35*C36</f>
        <v>166.04999999999998</v>
      </c>
      <c r="C36" s="5">
        <v>0.15</v>
      </c>
      <c r="J36" s="87" t="s">
        <v>140</v>
      </c>
      <c r="K36" s="43">
        <f ca="1">FLUJO_MENSUAL!O6</f>
        <v>149</v>
      </c>
    </row>
    <row r="37" spans="1:11">
      <c r="J37" s="87" t="s">
        <v>141</v>
      </c>
      <c r="K37" s="55">
        <f ca="1">FLUJO_MENSUAL!O28</f>
        <v>15681.9460422913</v>
      </c>
    </row>
    <row r="39" spans="1:11">
      <c r="E39" s="64"/>
    </row>
    <row r="40" spans="1:11">
      <c r="E40" s="64"/>
    </row>
    <row r="41" spans="1:11">
      <c r="E41" s="64"/>
    </row>
  </sheetData>
  <conditionalFormatting sqref="F29">
    <cfRule type="cellIs" dxfId="15" priority="3" operator="lessThan">
      <formula>0</formula>
    </cfRule>
    <cfRule type="cellIs" dxfId="14" priority="4" operator="greaterThan">
      <formula>0</formula>
    </cfRule>
  </conditionalFormatting>
  <conditionalFormatting sqref="K35">
    <cfRule type="cellIs" dxfId="13" priority="2" operator="lessThan">
      <formula>0</formula>
    </cfRule>
  </conditionalFormatting>
  <conditionalFormatting sqref="F32">
    <cfRule type="cellIs" dxfId="12" priority="1" operator="lessThan">
      <formula>0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E7B4E6D-BC29-BE48-8515-752502DA9DCB}">
          <x14:formula1>
            <xm:f>LOGIT!$A$1:$A$2</xm:f>
          </x14:formula1>
          <xm:sqref>G4:I4 G28 L30 L21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801A5-10C6-1643-9B23-274586D540A6}">
  <sheetPr>
    <tabColor theme="1"/>
  </sheetPr>
  <dimension ref="A1:AI29"/>
  <sheetViews>
    <sheetView zoomScaleNormal="100" workbookViewId="0">
      <pane xSplit="12192" ySplit="1248" topLeftCell="AD4" activePane="bottomRight"/>
      <selection pane="topRight" activeCell="F1" sqref="F1"/>
      <selection pane="bottomLeft" activeCell="A4" sqref="A4"/>
      <selection pane="bottomRight" activeCell="AE31" sqref="AE31"/>
    </sheetView>
  </sheetViews>
  <sheetFormatPr baseColWidth="10" defaultRowHeight="15.6"/>
  <cols>
    <col min="1" max="1" width="22.19921875" bestFit="1" customWidth="1"/>
    <col min="2" max="2" width="39" bestFit="1" customWidth="1"/>
    <col min="3" max="3" width="14.296875" customWidth="1"/>
    <col min="34" max="34" width="14.796875" bestFit="1" customWidth="1"/>
    <col min="35" max="35" width="17.19921875" bestFit="1" customWidth="1"/>
  </cols>
  <sheetData>
    <row r="1" spans="1:35">
      <c r="B1" s="6" t="s">
        <v>89</v>
      </c>
      <c r="C1" s="20" t="str">
        <f>DATOS!L30</f>
        <v>Si</v>
      </c>
    </row>
    <row r="3" spans="1:35">
      <c r="B3" s="7" t="s">
        <v>61</v>
      </c>
      <c r="C3" s="7">
        <v>1</v>
      </c>
      <c r="D3" s="7">
        <v>2</v>
      </c>
      <c r="E3" s="7">
        <v>3</v>
      </c>
      <c r="F3" s="7">
        <v>4</v>
      </c>
      <c r="G3" s="7">
        <v>5</v>
      </c>
      <c r="H3" s="7">
        <v>6</v>
      </c>
      <c r="I3" s="7">
        <v>7</v>
      </c>
      <c r="J3" s="7">
        <v>8</v>
      </c>
      <c r="K3" s="7">
        <v>9</v>
      </c>
      <c r="L3" s="7">
        <v>10</v>
      </c>
      <c r="M3" s="7">
        <v>11</v>
      </c>
      <c r="N3" s="7">
        <v>12</v>
      </c>
      <c r="O3" s="7">
        <v>13</v>
      </c>
      <c r="P3" s="7">
        <v>14</v>
      </c>
      <c r="Q3" s="7">
        <v>15</v>
      </c>
      <c r="R3" s="7">
        <v>16</v>
      </c>
      <c r="S3" s="7">
        <v>17</v>
      </c>
      <c r="T3" s="7">
        <v>18</v>
      </c>
      <c r="U3" s="7">
        <v>19</v>
      </c>
      <c r="V3" s="7">
        <v>20</v>
      </c>
      <c r="W3" s="7">
        <v>21</v>
      </c>
      <c r="X3" s="7">
        <v>22</v>
      </c>
      <c r="Y3" s="7">
        <v>23</v>
      </c>
      <c r="Z3" s="7">
        <v>24</v>
      </c>
      <c r="AA3" s="7">
        <v>25</v>
      </c>
      <c r="AB3" s="7">
        <v>26</v>
      </c>
      <c r="AC3" s="7">
        <v>27</v>
      </c>
      <c r="AD3" s="7">
        <v>28</v>
      </c>
      <c r="AE3" s="7">
        <v>29</v>
      </c>
      <c r="AF3" s="7">
        <v>30</v>
      </c>
      <c r="AG3" s="7">
        <v>31</v>
      </c>
      <c r="AH3" s="7" t="s">
        <v>93</v>
      </c>
    </row>
    <row r="4" spans="1:35">
      <c r="B4" s="43" t="s">
        <v>90</v>
      </c>
      <c r="C4" s="42">
        <f ca="1">IF($C$1="Si",NORMINV(RAND(),82.0097,5.52518 )/100,NORMINV(RAND(),30.2226,3.64451 )/100)</f>
        <v>0.78461340371241883</v>
      </c>
      <c r="D4" s="37">
        <f t="shared" ref="D4:AG4" ca="1" si="0">IF($C$1="Si",NORMINV(RAND(),82.0097,5.52518 )/100,NORMINV(RAND(),30.2226,3.64451 )/100)</f>
        <v>0.82569747240678593</v>
      </c>
      <c r="E4" s="37">
        <f t="shared" ca="1" si="0"/>
        <v>0.83535831652576709</v>
      </c>
      <c r="F4" s="37">
        <f t="shared" ca="1" si="0"/>
        <v>0.87407280931320386</v>
      </c>
      <c r="G4" s="37">
        <f t="shared" ca="1" si="0"/>
        <v>0.86018775869076303</v>
      </c>
      <c r="H4" s="37">
        <f t="shared" ca="1" si="0"/>
        <v>0.80473305392202543</v>
      </c>
      <c r="I4" s="37">
        <f t="shared" ca="1" si="0"/>
        <v>0.87758787400129445</v>
      </c>
      <c r="J4" s="37">
        <f t="shared" ca="1" si="0"/>
        <v>0.76954134630258997</v>
      </c>
      <c r="K4" s="37">
        <f t="shared" ca="1" si="0"/>
        <v>0.84828815030563409</v>
      </c>
      <c r="L4" s="37">
        <f t="shared" ca="1" si="0"/>
        <v>0.79480884861538825</v>
      </c>
      <c r="M4" s="37">
        <f t="shared" ca="1" si="0"/>
        <v>0.76477754660560082</v>
      </c>
      <c r="N4" s="37">
        <f t="shared" ca="1" si="0"/>
        <v>0.78582833664457075</v>
      </c>
      <c r="O4" s="37">
        <f t="shared" ca="1" si="0"/>
        <v>0.83702809337655171</v>
      </c>
      <c r="P4" s="37">
        <f t="shared" ca="1" si="0"/>
        <v>0.77422562000816442</v>
      </c>
      <c r="Q4" s="37">
        <f t="shared" ca="1" si="0"/>
        <v>0.8879096082467659</v>
      </c>
      <c r="R4" s="37">
        <f t="shared" ca="1" si="0"/>
        <v>0.86870504470022103</v>
      </c>
      <c r="S4" s="37">
        <f t="shared" ca="1" si="0"/>
        <v>0.86064406933158522</v>
      </c>
      <c r="T4" s="37">
        <f t="shared" ca="1" si="0"/>
        <v>0.79127757974291313</v>
      </c>
      <c r="U4" s="37">
        <f t="shared" ca="1" si="0"/>
        <v>0.75218900524174981</v>
      </c>
      <c r="V4" s="37">
        <f t="shared" ca="1" si="0"/>
        <v>0.76620476414779859</v>
      </c>
      <c r="W4" s="37">
        <f t="shared" ca="1" si="0"/>
        <v>0.80397715061766317</v>
      </c>
      <c r="X4" s="37">
        <f t="shared" ca="1" si="0"/>
        <v>0.79605663150870054</v>
      </c>
      <c r="Y4" s="37">
        <f t="shared" ca="1" si="0"/>
        <v>0.79943120852076832</v>
      </c>
      <c r="Z4" s="37">
        <f t="shared" ca="1" si="0"/>
        <v>0.78865360312695199</v>
      </c>
      <c r="AA4" s="37">
        <f t="shared" ca="1" si="0"/>
        <v>0.78878035738207031</v>
      </c>
      <c r="AB4" s="37">
        <f t="shared" ca="1" si="0"/>
        <v>0.83407935249755516</v>
      </c>
      <c r="AC4" s="37">
        <f t="shared" ca="1" si="0"/>
        <v>0.87170794488317538</v>
      </c>
      <c r="AD4" s="37">
        <f t="shared" ca="1" si="0"/>
        <v>0.8241681092525398</v>
      </c>
      <c r="AE4" s="37">
        <f t="shared" ca="1" si="0"/>
        <v>0.77453601081841006</v>
      </c>
      <c r="AF4" s="37">
        <f t="shared" ca="1" si="0"/>
        <v>0.80702647049326703</v>
      </c>
      <c r="AG4" s="38">
        <f t="shared" ca="1" si="0"/>
        <v>0.76360687955977924</v>
      </c>
      <c r="AH4" s="36">
        <f ca="1">AVERAGE(C4:AG4)</f>
        <v>0.8134097555000861</v>
      </c>
    </row>
    <row r="5" spans="1:35">
      <c r="B5" s="24" t="s">
        <v>86</v>
      </c>
      <c r="C5" s="36">
        <f ca="1">C4*DATOS!$K$28</f>
        <v>0.71029185054762578</v>
      </c>
      <c r="D5" s="36">
        <f ca="1">D4*DATOS!$K$28</f>
        <v>0.74748428065763139</v>
      </c>
      <c r="E5" s="36">
        <f ca="1">E4*DATOS!$K$28</f>
        <v>0.7562300130331624</v>
      </c>
      <c r="F5" s="36">
        <f ca="1">F4*DATOS!$K$28</f>
        <v>0.79127732244043347</v>
      </c>
      <c r="G5" s="36">
        <f ca="1">G4*DATOS!$K$28</f>
        <v>0.77870751639978131</v>
      </c>
      <c r="H5" s="36">
        <f ca="1">H4*DATOS!$K$28</f>
        <v>0.72850569129025777</v>
      </c>
      <c r="I5" s="36">
        <f ca="1">I4*DATOS!$K$28</f>
        <v>0.794459426888669</v>
      </c>
      <c r="J5" s="36">
        <f ca="1">J4*DATOS!$K$28</f>
        <v>0.69664747549803607</v>
      </c>
      <c r="K5" s="36">
        <f ca="1">K4*DATOS!$K$28</f>
        <v>0.7679350839882606</v>
      </c>
      <c r="L5" s="36">
        <f ca="1">L4*DATOS!$K$28</f>
        <v>0.71952154429619297</v>
      </c>
      <c r="M5" s="36">
        <f ca="1">M4*DATOS!$K$28</f>
        <v>0.69233492095027704</v>
      </c>
      <c r="N5" s="36">
        <f ca="1">N4*DATOS!$K$28</f>
        <v>0.71139170043113065</v>
      </c>
      <c r="O5" s="36">
        <f ca="1">O4*DATOS!$K$28</f>
        <v>0.75774162229669739</v>
      </c>
      <c r="P5" s="36">
        <f ca="1">P4*DATOS!$K$28</f>
        <v>0.70088803705747582</v>
      </c>
      <c r="Q5" s="36">
        <f ca="1">Q4*DATOS!$K$28</f>
        <v>0.80380344737492093</v>
      </c>
      <c r="R5" s="36">
        <f ca="1">R4*DATOS!$K$28</f>
        <v>0.78641801282091917</v>
      </c>
      <c r="S5" s="36">
        <f ca="1">S4*DATOS!$K$28</f>
        <v>0.77912060356852031</v>
      </c>
      <c r="T5" s="36">
        <f ca="1">T4*DATOS!$K$28</f>
        <v>0.71632477058528787</v>
      </c>
      <c r="U5" s="36">
        <f ca="1">U4*DATOS!$K$28</f>
        <v>0.68093881390097366</v>
      </c>
      <c r="V5" s="36">
        <f ca="1">V4*DATOS!$K$28</f>
        <v>0.69362694704157901</v>
      </c>
      <c r="W5" s="36">
        <f ca="1">W4*DATOS!$K$28</f>
        <v>0.72782139000971613</v>
      </c>
      <c r="X5" s="36">
        <f ca="1">X4*DATOS!$K$28</f>
        <v>0.7206511324681244</v>
      </c>
      <c r="Y5" s="36">
        <f ca="1">Y4*DATOS!$K$28</f>
        <v>0.72370605676507882</v>
      </c>
      <c r="Z5" s="36">
        <f ca="1">Z4*DATOS!$K$28</f>
        <v>0.71394934697217327</v>
      </c>
      <c r="AA5" s="36">
        <f ca="1">AA4*DATOS!$K$28</f>
        <v>0.71406409458419062</v>
      </c>
      <c r="AB5" s="36">
        <f ca="1">AB4*DATOS!$K$28</f>
        <v>0.75507219732152131</v>
      </c>
      <c r="AC5" s="36">
        <f ca="1">AC4*DATOS!$K$28</f>
        <v>0.78913646692566475</v>
      </c>
      <c r="AD5" s="36">
        <f ca="1">AD4*DATOS!$K$28</f>
        <v>0.74609978457351023</v>
      </c>
      <c r="AE5" s="36">
        <f ca="1">AE4*DATOS!$K$28</f>
        <v>0.70116902647463231</v>
      </c>
      <c r="AF5" s="36">
        <f ca="1">AF4*DATOS!$K$28</f>
        <v>0.73058186675801828</v>
      </c>
      <c r="AG5" s="39">
        <f ca="1">AG4*DATOS!$K$28</f>
        <v>0.69127514392070122</v>
      </c>
      <c r="AH5" s="36">
        <f ca="1">AVERAGE(C5:AG5)</f>
        <v>0.73636050283358612</v>
      </c>
    </row>
    <row r="6" spans="1:35">
      <c r="B6" s="16" t="s">
        <v>91</v>
      </c>
      <c r="C6" s="34">
        <f ca="1">IF(DATOS!$G$4="Si",1,IF(RAND()&lt;C5,1,0))</f>
        <v>1</v>
      </c>
      <c r="D6" s="34">
        <f ca="1">IF(DATOS!$G$4="Si",1,IF(RAND()&lt;D5,1,0))</f>
        <v>0</v>
      </c>
      <c r="E6" s="34">
        <f ca="1">IF(DATOS!$G$4="Si",1,IF(RAND()&lt;E5,1,0))</f>
        <v>1</v>
      </c>
      <c r="F6" s="34">
        <f ca="1">IF(DATOS!$G$4="Si",1,IF(RAND()&lt;F5,1,0))</f>
        <v>1</v>
      </c>
      <c r="G6" s="34">
        <f ca="1">IF(DATOS!$G$4="Si",1,IF(RAND()&lt;G5,1,0))</f>
        <v>1</v>
      </c>
      <c r="H6" s="34">
        <f ca="1">IF(DATOS!$G$4="Si",1,IF(RAND()&lt;H5,1,0))</f>
        <v>1</v>
      </c>
      <c r="I6" s="34">
        <f ca="1">IF(DATOS!$G$4="Si",1,IF(RAND()&lt;I5,1,0))</f>
        <v>0</v>
      </c>
      <c r="J6" s="34">
        <f ca="1">IF(DATOS!$G$4="Si",1,IF(RAND()&lt;J5,1,0))</f>
        <v>0</v>
      </c>
      <c r="K6" s="34">
        <f ca="1">IF(DATOS!$G$4="Si",1,IF(RAND()&lt;K5,1,0))</f>
        <v>1</v>
      </c>
      <c r="L6" s="34">
        <f ca="1">IF(DATOS!$G$4="Si",1,IF(RAND()&lt;L5,1,0))</f>
        <v>1</v>
      </c>
      <c r="M6" s="34">
        <f ca="1">IF(DATOS!$G$4="Si",1,IF(RAND()&lt;M5,1,0))</f>
        <v>1</v>
      </c>
      <c r="N6" s="34">
        <f ca="1">IF(DATOS!$G$4="Si",1,IF(RAND()&lt;N5,1,0))</f>
        <v>0</v>
      </c>
      <c r="O6" s="34">
        <f ca="1">IF(DATOS!$G$4="Si",1,IF(RAND()&lt;O5,1,0))</f>
        <v>1</v>
      </c>
      <c r="P6" s="34">
        <f ca="1">IF(DATOS!$G$4="Si",1,IF(RAND()&lt;P5,1,0))</f>
        <v>1</v>
      </c>
      <c r="Q6" s="34">
        <f ca="1">IF(DATOS!$G$4="Si",1,IF(RAND()&lt;Q5,1,0))</f>
        <v>1</v>
      </c>
      <c r="R6" s="34">
        <f ca="1">IF(DATOS!$G$4="Si",1,IF(RAND()&lt;R5,1,0))</f>
        <v>1</v>
      </c>
      <c r="S6" s="34">
        <f ca="1">IF(DATOS!$G$4="Si",1,IF(RAND()&lt;S5,1,0))</f>
        <v>0</v>
      </c>
      <c r="T6" s="34">
        <f ca="1">IF(DATOS!$G$4="Si",1,IF(RAND()&lt;T5,1,0))</f>
        <v>1</v>
      </c>
      <c r="U6" s="34">
        <f ca="1">IF(DATOS!$G$4="Si",1,IF(RAND()&lt;U5,1,0))</f>
        <v>0</v>
      </c>
      <c r="V6" s="34">
        <f ca="1">IF(DATOS!$G$4="Si",1,IF(RAND()&lt;V5,1,0))</f>
        <v>0</v>
      </c>
      <c r="W6" s="34">
        <f ca="1">IF(DATOS!$G$4="Si",1,IF(RAND()&lt;W5,1,0))</f>
        <v>1</v>
      </c>
      <c r="X6" s="34">
        <f ca="1">IF(DATOS!$G$4="Si",1,IF(RAND()&lt;X5,1,0))</f>
        <v>1</v>
      </c>
      <c r="Y6" s="34">
        <f ca="1">IF(DATOS!$G$4="Si",1,IF(RAND()&lt;Y5,1,0))</f>
        <v>1</v>
      </c>
      <c r="Z6" s="34">
        <f ca="1">IF(DATOS!$G$4="Si",1,IF(RAND()&lt;Z5,1,0))</f>
        <v>1</v>
      </c>
      <c r="AA6" s="34">
        <f ca="1">IF(DATOS!$G$4="Si",1,IF(RAND()&lt;AA5,1,0))</f>
        <v>1</v>
      </c>
      <c r="AB6" s="34">
        <f ca="1">IF(DATOS!$G$4="Si",1,IF(RAND()&lt;AB5,1,0))</f>
        <v>1</v>
      </c>
      <c r="AC6" s="34">
        <f ca="1">IF(DATOS!$G$4="Si",1,IF(RAND()&lt;AC5,1,0))</f>
        <v>0</v>
      </c>
      <c r="AD6" s="34">
        <f ca="1">IF(DATOS!$G$4="Si",1,IF(RAND()&lt;AD5,1,0))</f>
        <v>0</v>
      </c>
      <c r="AE6" s="34">
        <f ca="1">IF(DATOS!$G$4="Si",1,IF(RAND()&lt;AE5,1,0))</f>
        <v>1</v>
      </c>
      <c r="AF6" s="34">
        <f ca="1">IF(DATOS!$G$4="Si",1,IF(RAND()&lt;AF5,1,0))</f>
        <v>1</v>
      </c>
      <c r="AG6" s="34">
        <f ca="1">IF(DATOS!$G$4="Si",1,IF(RAND()&lt;AG5,1,0))</f>
        <v>1</v>
      </c>
      <c r="AH6" s="34">
        <f ca="1">SUM(C6:AG6)</f>
        <v>22</v>
      </c>
    </row>
    <row r="7" spans="1:35">
      <c r="B7" s="17" t="s">
        <v>92</v>
      </c>
      <c r="C7" s="9">
        <f ca="1">IF(DATOS!$G$4="Si",(DATOS!$F$4)/31,DATOS!$F$6*C6)</f>
        <v>1000</v>
      </c>
      <c r="D7" s="9">
        <f ca="1">IF(DATOS!$G$4="Si",(DATOS!$F$4)/31,DATOS!$F$6*D6)</f>
        <v>0</v>
      </c>
      <c r="E7" s="9">
        <f ca="1">IF(DATOS!$G$4="Si",(DATOS!$F$4)/31,DATOS!$F$6*E6)</f>
        <v>1000</v>
      </c>
      <c r="F7" s="9">
        <f ca="1">IF(DATOS!$G$4="Si",(DATOS!$F$4)/31,DATOS!$F$6*F6)</f>
        <v>1000</v>
      </c>
      <c r="G7" s="9">
        <f ca="1">IF(DATOS!$G$4="Si",(DATOS!$F$4)/31,DATOS!$F$6*G6)</f>
        <v>1000</v>
      </c>
      <c r="H7" s="9">
        <f ca="1">IF(DATOS!$G$4="Si",(DATOS!$F$4)/31,DATOS!$F$6*H6)</f>
        <v>1000</v>
      </c>
      <c r="I7" s="9">
        <f ca="1">IF(DATOS!$G$4="Si",(DATOS!$F$4)/31,DATOS!$F$6*I6)</f>
        <v>0</v>
      </c>
      <c r="J7" s="9">
        <f ca="1">IF(DATOS!$G$4="Si",(DATOS!$F$4)/31,DATOS!$F$6*J6)</f>
        <v>0</v>
      </c>
      <c r="K7" s="9">
        <f ca="1">IF(DATOS!$G$4="Si",(DATOS!$F$4)/31,DATOS!$F$6*K6)</f>
        <v>1000</v>
      </c>
      <c r="L7" s="9">
        <f ca="1">IF(DATOS!$G$4="Si",(DATOS!$F$4)/31,DATOS!$F$6*L6)</f>
        <v>1000</v>
      </c>
      <c r="M7" s="9">
        <f ca="1">IF(DATOS!$G$4="Si",(DATOS!$F$4)/31,DATOS!$F$6*M6)</f>
        <v>1000</v>
      </c>
      <c r="N7" s="9">
        <f ca="1">IF(DATOS!$G$4="Si",(DATOS!$F$4)/31,DATOS!$F$6*N6)</f>
        <v>0</v>
      </c>
      <c r="O7" s="9">
        <f ca="1">IF(DATOS!$G$4="Si",(DATOS!$F$4)/31,DATOS!$F$6*O6)</f>
        <v>1000</v>
      </c>
      <c r="P7" s="9">
        <f ca="1">IF(DATOS!$G$4="Si",(DATOS!$F$4)/31,DATOS!$F$6*P6)</f>
        <v>1000</v>
      </c>
      <c r="Q7" s="9">
        <f ca="1">IF(DATOS!$G$4="Si",(DATOS!$F$4)/31,DATOS!$F$6*Q6)</f>
        <v>1000</v>
      </c>
      <c r="R7" s="9">
        <f ca="1">IF(DATOS!$G$4="Si",(DATOS!$F$4)/31,DATOS!$F$6*R6)</f>
        <v>1000</v>
      </c>
      <c r="S7" s="9">
        <f ca="1">IF(DATOS!$G$4="Si",(DATOS!$F$4)/31,DATOS!$F$6*S6)</f>
        <v>0</v>
      </c>
      <c r="T7" s="9">
        <f ca="1">IF(DATOS!$G$4="Si",(DATOS!$F$4)/31,DATOS!$F$6*T6)</f>
        <v>1000</v>
      </c>
      <c r="U7" s="9">
        <f ca="1">IF(DATOS!$G$4="Si",(DATOS!$F$4)/31,DATOS!$F$6*U6)</f>
        <v>0</v>
      </c>
      <c r="V7" s="9">
        <f ca="1">IF(DATOS!$G$4="Si",(DATOS!$F$4)/31,DATOS!$F$6*V6)</f>
        <v>0</v>
      </c>
      <c r="W7" s="9">
        <f ca="1">IF(DATOS!$G$4="Si",(DATOS!$F$4)/31,DATOS!$F$6*W6)</f>
        <v>1000</v>
      </c>
      <c r="X7" s="9">
        <f ca="1">IF(DATOS!$G$4="Si",(DATOS!$F$4)/31,DATOS!$F$6*X6)</f>
        <v>1000</v>
      </c>
      <c r="Y7" s="9">
        <f ca="1">IF(DATOS!$G$4="Si",(DATOS!$F$4)/31,DATOS!$F$6*Y6)</f>
        <v>1000</v>
      </c>
      <c r="Z7" s="9">
        <f ca="1">IF(DATOS!$G$4="Si",(DATOS!$F$4)/31,DATOS!$F$6*Z6)</f>
        <v>1000</v>
      </c>
      <c r="AA7" s="9">
        <f ca="1">IF(DATOS!$G$4="Si",(DATOS!$F$4)/31,DATOS!$F$6*AA6)</f>
        <v>1000</v>
      </c>
      <c r="AB7" s="9">
        <f ca="1">IF(DATOS!$G$4="Si",(DATOS!$F$4)/31,DATOS!$F$6*AB6)</f>
        <v>1000</v>
      </c>
      <c r="AC7" s="9">
        <f ca="1">IF(DATOS!$G$4="Si",(DATOS!$F$4)/31,DATOS!$F$6*AC6)</f>
        <v>0</v>
      </c>
      <c r="AD7" s="9">
        <f ca="1">IF(DATOS!$G$4="Si",(DATOS!$F$4)/31,DATOS!$F$6*AD6)</f>
        <v>0</v>
      </c>
      <c r="AE7" s="9">
        <f ca="1">IF(DATOS!$G$4="Si",(DATOS!$F$4)/31,DATOS!$F$6*AE6)</f>
        <v>1000</v>
      </c>
      <c r="AF7" s="9">
        <f ca="1">IF(DATOS!$G$4="Si",(DATOS!$F$4)/31,DATOS!$F$6*AF6)</f>
        <v>1000</v>
      </c>
      <c r="AG7" s="9">
        <f ca="1">IF(DATOS!$G$4="Si",(DATOS!$F$4)/31,DATOS!$F$6*AG6)</f>
        <v>1000</v>
      </c>
      <c r="AH7" s="12">
        <f ca="1">SUM(C7:AG7)</f>
        <v>22000</v>
      </c>
    </row>
    <row r="9" spans="1:35">
      <c r="B9" s="7" t="s">
        <v>94</v>
      </c>
      <c r="AI9" s="7" t="s">
        <v>126</v>
      </c>
    </row>
    <row r="10" spans="1:35">
      <c r="A10" s="114" t="s">
        <v>25</v>
      </c>
      <c r="B10" s="2" t="s">
        <v>27</v>
      </c>
      <c r="C10" s="4">
        <f>IF($AI$10=0,0,DATOS!$F$11/31)</f>
        <v>16.129032258064516</v>
      </c>
      <c r="D10" s="4">
        <f>IF($AI$10=0,0,DATOS!$F$11/31)</f>
        <v>16.129032258064516</v>
      </c>
      <c r="E10" s="4">
        <f>IF($AI$10=0,0,DATOS!$F$11/31)</f>
        <v>16.129032258064516</v>
      </c>
      <c r="F10" s="4">
        <f>IF($AI$10=0,0,DATOS!$F$11/31)</f>
        <v>16.129032258064516</v>
      </c>
      <c r="G10" s="4">
        <f>IF($AI$10=0,0,DATOS!$F$11/31)</f>
        <v>16.129032258064516</v>
      </c>
      <c r="H10" s="4">
        <f>IF($AI$10=0,0,DATOS!$F$11/31)</f>
        <v>16.129032258064516</v>
      </c>
      <c r="I10" s="4">
        <f>IF($AI$10=0,0,DATOS!$F$11/31)</f>
        <v>16.129032258064516</v>
      </c>
      <c r="J10" s="4">
        <f>IF($AI$10=0,0,DATOS!$F$11/31)</f>
        <v>16.129032258064516</v>
      </c>
      <c r="K10" s="4">
        <f>IF($AI$10=0,0,DATOS!$F$11/31)</f>
        <v>16.129032258064516</v>
      </c>
      <c r="L10" s="4">
        <f>IF($AI$10=0,0,DATOS!$F$11/31)</f>
        <v>16.129032258064516</v>
      </c>
      <c r="M10" s="4">
        <f>IF($AI$10=0,0,DATOS!$F$11/31)</f>
        <v>16.129032258064516</v>
      </c>
      <c r="N10" s="4">
        <f>IF($AI$10=0,0,DATOS!$F$11/31)</f>
        <v>16.129032258064516</v>
      </c>
      <c r="O10" s="4">
        <f>IF($AI$10=0,0,DATOS!$F$11/31)</f>
        <v>16.129032258064516</v>
      </c>
      <c r="P10" s="4">
        <f>IF($AI$10=0,0,DATOS!$F$11/31)</f>
        <v>16.129032258064516</v>
      </c>
      <c r="Q10" s="4">
        <f>IF($AI$10=0,0,DATOS!$F$11/31)</f>
        <v>16.129032258064516</v>
      </c>
      <c r="R10" s="4">
        <f>IF($AI$10=0,0,DATOS!$F$11/31)</f>
        <v>16.129032258064516</v>
      </c>
      <c r="S10" s="4">
        <f>IF($AI$10=0,0,DATOS!$F$11/31)</f>
        <v>16.129032258064516</v>
      </c>
      <c r="T10" s="4">
        <f>IF($AI$10=0,0,DATOS!$F$11/31)</f>
        <v>16.129032258064516</v>
      </c>
      <c r="U10" s="4">
        <f>IF($AI$10=0,0,DATOS!$F$11/31)</f>
        <v>16.129032258064516</v>
      </c>
      <c r="V10" s="4">
        <f>IF($AI$10=0,0,DATOS!$F$11/31)</f>
        <v>16.129032258064516</v>
      </c>
      <c r="W10" s="4">
        <f>IF($AI$10=0,0,DATOS!$F$11/31)</f>
        <v>16.129032258064516</v>
      </c>
      <c r="X10" s="4">
        <f>IF($AI$10=0,0,DATOS!$F$11/31)</f>
        <v>16.129032258064516</v>
      </c>
      <c r="Y10" s="4">
        <f>IF($AI$10=0,0,DATOS!$F$11/31)</f>
        <v>16.129032258064516</v>
      </c>
      <c r="Z10" s="4">
        <f>IF($AI$10=0,0,DATOS!$F$11/31)</f>
        <v>16.129032258064516</v>
      </c>
      <c r="AA10" s="4">
        <f>IF($AI$10=0,0,DATOS!$F$11/31)</f>
        <v>16.129032258064516</v>
      </c>
      <c r="AB10" s="4">
        <f>IF($AI$10=0,0,DATOS!$F$11/31)</f>
        <v>16.129032258064516</v>
      </c>
      <c r="AC10" s="4">
        <f>IF($AI$10=0,0,DATOS!$F$11/31)</f>
        <v>16.129032258064516</v>
      </c>
      <c r="AD10" s="4">
        <f>IF($AI$10=0,0,DATOS!$F$11/31)</f>
        <v>16.129032258064516</v>
      </c>
      <c r="AE10" s="4">
        <f>IF($AI$10=0,0,DATOS!$F$11/31)</f>
        <v>16.129032258064516</v>
      </c>
      <c r="AF10" s="4">
        <f>IF($AI$10=0,0,DATOS!$F$11/31)</f>
        <v>16.129032258064516</v>
      </c>
      <c r="AG10" s="4">
        <f>IF($AI$10=0,0,DATOS!$F$11/31)</f>
        <v>16.129032258064516</v>
      </c>
      <c r="AH10" s="97">
        <f>SUM(C10:AG10)</f>
        <v>499.99999999999994</v>
      </c>
      <c r="AI10" s="100">
        <v>1</v>
      </c>
    </row>
    <row r="11" spans="1:35">
      <c r="A11" s="115"/>
      <c r="B11" s="14" t="s">
        <v>29</v>
      </c>
      <c r="C11" s="4">
        <f>IF($AI$11=0,0,DATOS!$F$12/31)</f>
        <v>4.838709677419355</v>
      </c>
      <c r="D11" s="4">
        <f>IF($AI$11=0,0,DATOS!$F$12/31)</f>
        <v>4.838709677419355</v>
      </c>
      <c r="E11" s="4">
        <f>IF($AI$11=0,0,DATOS!$F$12/31)</f>
        <v>4.838709677419355</v>
      </c>
      <c r="F11" s="4">
        <f>IF($AI$11=0,0,DATOS!$F$12/31)</f>
        <v>4.838709677419355</v>
      </c>
      <c r="G11" s="4">
        <f>IF($AI$11=0,0,DATOS!$F$12/31)</f>
        <v>4.838709677419355</v>
      </c>
      <c r="H11" s="4">
        <f>IF($AI$11=0,0,DATOS!$F$12/31)</f>
        <v>4.838709677419355</v>
      </c>
      <c r="I11" s="4">
        <f>IF($AI$11=0,0,DATOS!$F$12/31)</f>
        <v>4.838709677419355</v>
      </c>
      <c r="J11" s="4">
        <f>IF($AI$11=0,0,DATOS!$F$12/31)</f>
        <v>4.838709677419355</v>
      </c>
      <c r="K11" s="4">
        <f>IF($AI$11=0,0,DATOS!$F$12/31)</f>
        <v>4.838709677419355</v>
      </c>
      <c r="L11" s="4">
        <f>IF($AI$11=0,0,DATOS!$F$12/31)</f>
        <v>4.838709677419355</v>
      </c>
      <c r="M11" s="4">
        <f>IF($AI$11=0,0,DATOS!$F$12/31)</f>
        <v>4.838709677419355</v>
      </c>
      <c r="N11" s="4">
        <f>IF($AI$11=0,0,DATOS!$F$12/31)</f>
        <v>4.838709677419355</v>
      </c>
      <c r="O11" s="4">
        <f>IF($AI$11=0,0,DATOS!$F$12/31)</f>
        <v>4.838709677419355</v>
      </c>
      <c r="P11" s="4">
        <f>IF($AI$11=0,0,DATOS!$F$12/31)</f>
        <v>4.838709677419355</v>
      </c>
      <c r="Q11" s="4">
        <f>IF($AI$11=0,0,DATOS!$F$12/31)</f>
        <v>4.838709677419355</v>
      </c>
      <c r="R11" s="4">
        <f>IF($AI$11=0,0,DATOS!$F$12/31)</f>
        <v>4.838709677419355</v>
      </c>
      <c r="S11" s="4">
        <f>IF($AI$11=0,0,DATOS!$F$12/31)</f>
        <v>4.838709677419355</v>
      </c>
      <c r="T11" s="4">
        <f>IF($AI$11=0,0,DATOS!$F$12/31)</f>
        <v>4.838709677419355</v>
      </c>
      <c r="U11" s="4">
        <f>IF($AI$11=0,0,DATOS!$F$12/31)</f>
        <v>4.838709677419355</v>
      </c>
      <c r="V11" s="4">
        <f>IF($AI$11=0,0,DATOS!$F$12/31)</f>
        <v>4.838709677419355</v>
      </c>
      <c r="W11" s="4">
        <f>IF($AI$11=0,0,DATOS!$F$12/31)</f>
        <v>4.838709677419355</v>
      </c>
      <c r="X11" s="4">
        <f>IF($AI$11=0,0,DATOS!$F$12/31)</f>
        <v>4.838709677419355</v>
      </c>
      <c r="Y11" s="4">
        <f>IF($AI$11=0,0,DATOS!$F$12/31)</f>
        <v>4.838709677419355</v>
      </c>
      <c r="Z11" s="4">
        <f>IF($AI$11=0,0,DATOS!$F$12/31)</f>
        <v>4.838709677419355</v>
      </c>
      <c r="AA11" s="4">
        <f>IF($AI$11=0,0,DATOS!$F$12/31)</f>
        <v>4.838709677419355</v>
      </c>
      <c r="AB11" s="4">
        <f>IF($AI$11=0,0,DATOS!$F$12/31)</f>
        <v>4.838709677419355</v>
      </c>
      <c r="AC11" s="4">
        <f>IF($AI$11=0,0,DATOS!$F$12/31)</f>
        <v>4.838709677419355</v>
      </c>
      <c r="AD11" s="4">
        <f>IF($AI$11=0,0,DATOS!$F$12/31)</f>
        <v>4.838709677419355</v>
      </c>
      <c r="AE11" s="4">
        <f>IF($AI$11=0,0,DATOS!$F$12/31)</f>
        <v>4.838709677419355</v>
      </c>
      <c r="AF11" s="4">
        <f>IF($AI$11=0,0,DATOS!$F$12/31)</f>
        <v>4.838709677419355</v>
      </c>
      <c r="AG11" s="4">
        <f>IF($AI$11=0,0,DATOS!$F$12/31)</f>
        <v>4.838709677419355</v>
      </c>
      <c r="AH11" s="97">
        <f t="shared" ref="AH11:AH27" si="1">SUM(C11:AG11)</f>
        <v>150.00000000000006</v>
      </c>
      <c r="AI11" s="100">
        <v>1</v>
      </c>
    </row>
    <row r="12" spans="1:35">
      <c r="A12" s="115"/>
      <c r="B12" s="2" t="s">
        <v>36</v>
      </c>
      <c r="C12" s="4">
        <f>IF($AI$12=0,0,DATOS!$F$13/31)</f>
        <v>16.129032258064516</v>
      </c>
      <c r="D12" s="4">
        <f>IF($AI$12=0,0,DATOS!$F$13/31)</f>
        <v>16.129032258064516</v>
      </c>
      <c r="E12" s="4">
        <f>IF($AI$12=0,0,DATOS!$F$13/31)</f>
        <v>16.129032258064516</v>
      </c>
      <c r="F12" s="4">
        <f>IF($AI$12=0,0,DATOS!$F$13/31)</f>
        <v>16.129032258064516</v>
      </c>
      <c r="G12" s="4">
        <f>IF($AI$12=0,0,DATOS!$F$13/31)</f>
        <v>16.129032258064516</v>
      </c>
      <c r="H12" s="4">
        <f>IF($AI$12=0,0,DATOS!$F$13/31)</f>
        <v>16.129032258064516</v>
      </c>
      <c r="I12" s="4">
        <f>IF($AI$12=0,0,DATOS!$F$13/31)</f>
        <v>16.129032258064516</v>
      </c>
      <c r="J12" s="4">
        <f>IF($AI$12=0,0,DATOS!$F$13/31)</f>
        <v>16.129032258064516</v>
      </c>
      <c r="K12" s="4">
        <f>IF($AI$12=0,0,DATOS!$F$13/31)</f>
        <v>16.129032258064516</v>
      </c>
      <c r="L12" s="4">
        <f>IF($AI$12=0,0,DATOS!$F$13/31)</f>
        <v>16.129032258064516</v>
      </c>
      <c r="M12" s="4">
        <f>IF($AI$12=0,0,DATOS!$F$13/31)</f>
        <v>16.129032258064516</v>
      </c>
      <c r="N12" s="4">
        <f>IF($AI$12=0,0,DATOS!$F$13/31)</f>
        <v>16.129032258064516</v>
      </c>
      <c r="O12" s="4">
        <f>IF($AI$12=0,0,DATOS!$F$13/31)</f>
        <v>16.129032258064516</v>
      </c>
      <c r="P12" s="4">
        <f>IF($AI$12=0,0,DATOS!$F$13/31)</f>
        <v>16.129032258064516</v>
      </c>
      <c r="Q12" s="4">
        <f>IF($AI$12=0,0,DATOS!$F$13/31)</f>
        <v>16.129032258064516</v>
      </c>
      <c r="R12" s="4">
        <f>IF($AI$12=0,0,DATOS!$F$13/31)</f>
        <v>16.129032258064516</v>
      </c>
      <c r="S12" s="4">
        <f>IF($AI$12=0,0,DATOS!$F$13/31)</f>
        <v>16.129032258064516</v>
      </c>
      <c r="T12" s="4">
        <f>IF($AI$12=0,0,DATOS!$F$13/31)</f>
        <v>16.129032258064516</v>
      </c>
      <c r="U12" s="4">
        <f>IF($AI$12=0,0,DATOS!$F$13/31)</f>
        <v>16.129032258064516</v>
      </c>
      <c r="V12" s="4">
        <f>IF($AI$12=0,0,DATOS!$F$13/31)</f>
        <v>16.129032258064516</v>
      </c>
      <c r="W12" s="4">
        <f>IF($AI$12=0,0,DATOS!$F$13/31)</f>
        <v>16.129032258064516</v>
      </c>
      <c r="X12" s="4">
        <f>IF($AI$12=0,0,DATOS!$F$13/31)</f>
        <v>16.129032258064516</v>
      </c>
      <c r="Y12" s="4">
        <f>IF($AI$12=0,0,DATOS!$F$13/31)</f>
        <v>16.129032258064516</v>
      </c>
      <c r="Z12" s="4">
        <f>IF($AI$12=0,0,DATOS!$F$13/31)</f>
        <v>16.129032258064516</v>
      </c>
      <c r="AA12" s="4">
        <f>IF($AI$12=0,0,DATOS!$F$13/31)</f>
        <v>16.129032258064516</v>
      </c>
      <c r="AB12" s="4">
        <f>IF($AI$12=0,0,DATOS!$F$13/31)</f>
        <v>16.129032258064516</v>
      </c>
      <c r="AC12" s="4">
        <f>IF($AI$12=0,0,DATOS!$F$13/31)</f>
        <v>16.129032258064516</v>
      </c>
      <c r="AD12" s="4">
        <f>IF($AI$12=0,0,DATOS!$F$13/31)</f>
        <v>16.129032258064516</v>
      </c>
      <c r="AE12" s="4">
        <f>IF($AI$12=0,0,DATOS!$F$13/31)</f>
        <v>16.129032258064516</v>
      </c>
      <c r="AF12" s="4">
        <f>IF($AI$12=0,0,DATOS!$F$13/31)</f>
        <v>16.129032258064516</v>
      </c>
      <c r="AG12" s="4">
        <f>IF($AI$12=0,0,DATOS!$F$13/31)</f>
        <v>16.129032258064516</v>
      </c>
      <c r="AH12" s="97">
        <f t="shared" si="1"/>
        <v>499.99999999999994</v>
      </c>
      <c r="AI12" s="100">
        <v>1</v>
      </c>
    </row>
    <row r="13" spans="1:35">
      <c r="A13" s="115"/>
      <c r="B13" s="2" t="s">
        <v>30</v>
      </c>
      <c r="C13" s="4">
        <f>IF($AI$13=0,0,DATOS!$F$14/31)</f>
        <v>9.67741935483871</v>
      </c>
      <c r="D13" s="4">
        <f>IF($AI$13=0,0,DATOS!$F$14/31)</f>
        <v>9.67741935483871</v>
      </c>
      <c r="E13" s="4">
        <f>IF($AI$13=0,0,DATOS!$F$14/31)</f>
        <v>9.67741935483871</v>
      </c>
      <c r="F13" s="4">
        <f>IF($AI$13=0,0,DATOS!$F$14/31)</f>
        <v>9.67741935483871</v>
      </c>
      <c r="G13" s="4">
        <f>IF($AI$13=0,0,DATOS!$F$14/31)</f>
        <v>9.67741935483871</v>
      </c>
      <c r="H13" s="4">
        <f>IF($AI$13=0,0,DATOS!$F$14/31)</f>
        <v>9.67741935483871</v>
      </c>
      <c r="I13" s="4">
        <f>IF($AI$13=0,0,DATOS!$F$14/31)</f>
        <v>9.67741935483871</v>
      </c>
      <c r="J13" s="4">
        <f>IF($AI$13=0,0,DATOS!$F$14/31)</f>
        <v>9.67741935483871</v>
      </c>
      <c r="K13" s="4">
        <f>IF($AI$13=0,0,DATOS!$F$14/31)</f>
        <v>9.67741935483871</v>
      </c>
      <c r="L13" s="4">
        <f>IF($AI$13=0,0,DATOS!$F$14/31)</f>
        <v>9.67741935483871</v>
      </c>
      <c r="M13" s="4">
        <f>IF($AI$13=0,0,DATOS!$F$14/31)</f>
        <v>9.67741935483871</v>
      </c>
      <c r="N13" s="4">
        <f>IF($AI$13=0,0,DATOS!$F$14/31)</f>
        <v>9.67741935483871</v>
      </c>
      <c r="O13" s="4">
        <f>IF($AI$13=0,0,DATOS!$F$14/31)</f>
        <v>9.67741935483871</v>
      </c>
      <c r="P13" s="4">
        <f>IF($AI$13=0,0,DATOS!$F$14/31)</f>
        <v>9.67741935483871</v>
      </c>
      <c r="Q13" s="4">
        <f>IF($AI$13=0,0,DATOS!$F$14/31)</f>
        <v>9.67741935483871</v>
      </c>
      <c r="R13" s="4">
        <f>IF($AI$13=0,0,DATOS!$F$14/31)</f>
        <v>9.67741935483871</v>
      </c>
      <c r="S13" s="4">
        <f>IF($AI$13=0,0,DATOS!$F$14/31)</f>
        <v>9.67741935483871</v>
      </c>
      <c r="T13" s="4">
        <f>IF($AI$13=0,0,DATOS!$F$14/31)</f>
        <v>9.67741935483871</v>
      </c>
      <c r="U13" s="4">
        <f>IF($AI$13=0,0,DATOS!$F$14/31)</f>
        <v>9.67741935483871</v>
      </c>
      <c r="V13" s="4">
        <f>IF($AI$13=0,0,DATOS!$F$14/31)</f>
        <v>9.67741935483871</v>
      </c>
      <c r="W13" s="4">
        <f>IF($AI$13=0,0,DATOS!$F$14/31)</f>
        <v>9.67741935483871</v>
      </c>
      <c r="X13" s="4">
        <f>IF($AI$13=0,0,DATOS!$F$14/31)</f>
        <v>9.67741935483871</v>
      </c>
      <c r="Y13" s="4">
        <f>IF($AI$13=0,0,DATOS!$F$14/31)</f>
        <v>9.67741935483871</v>
      </c>
      <c r="Z13" s="4">
        <f>IF($AI$13=0,0,DATOS!$F$14/31)</f>
        <v>9.67741935483871</v>
      </c>
      <c r="AA13" s="4">
        <f>IF($AI$13=0,0,DATOS!$F$14/31)</f>
        <v>9.67741935483871</v>
      </c>
      <c r="AB13" s="4">
        <f>IF($AI$13=0,0,DATOS!$F$14/31)</f>
        <v>9.67741935483871</v>
      </c>
      <c r="AC13" s="4">
        <f>IF($AI$13=0,0,DATOS!$F$14/31)</f>
        <v>9.67741935483871</v>
      </c>
      <c r="AD13" s="4">
        <f>IF($AI$13=0,0,DATOS!$F$14/31)</f>
        <v>9.67741935483871</v>
      </c>
      <c r="AE13" s="4">
        <f>IF($AI$13=0,0,DATOS!$F$14/31)</f>
        <v>9.67741935483871</v>
      </c>
      <c r="AF13" s="4">
        <f>IF($AI$13=0,0,DATOS!$F$14/31)</f>
        <v>9.67741935483871</v>
      </c>
      <c r="AG13" s="4">
        <f>IF($AI$13=0,0,DATOS!$F$14/31)</f>
        <v>9.67741935483871</v>
      </c>
      <c r="AH13" s="97">
        <f t="shared" si="1"/>
        <v>300.00000000000011</v>
      </c>
      <c r="AI13" s="100">
        <v>1</v>
      </c>
    </row>
    <row r="14" spans="1:35">
      <c r="A14" s="115"/>
      <c r="B14" s="2" t="s">
        <v>31</v>
      </c>
      <c r="C14" s="4">
        <f>IF($AI$14=0,0,DATOS!$F$15/31)</f>
        <v>6.4516129032258061</v>
      </c>
      <c r="D14" s="4">
        <f>IF($AI$14=0,0,DATOS!$F$15/31)</f>
        <v>6.4516129032258061</v>
      </c>
      <c r="E14" s="4">
        <f>IF($AI$14=0,0,DATOS!$F$15/31)</f>
        <v>6.4516129032258061</v>
      </c>
      <c r="F14" s="4">
        <f>IF($AI$14=0,0,DATOS!$F$15/31)</f>
        <v>6.4516129032258061</v>
      </c>
      <c r="G14" s="4">
        <f>IF($AI$14=0,0,DATOS!$F$15/31)</f>
        <v>6.4516129032258061</v>
      </c>
      <c r="H14" s="4">
        <f>IF($AI$14=0,0,DATOS!$F$15/31)</f>
        <v>6.4516129032258061</v>
      </c>
      <c r="I14" s="4">
        <f>IF($AI$14=0,0,DATOS!$F$15/31)</f>
        <v>6.4516129032258061</v>
      </c>
      <c r="J14" s="4">
        <f>IF($AI$14=0,0,DATOS!$F$15/31)</f>
        <v>6.4516129032258061</v>
      </c>
      <c r="K14" s="4">
        <f>IF($AI$14=0,0,DATOS!$F$15/31)</f>
        <v>6.4516129032258061</v>
      </c>
      <c r="L14" s="4">
        <f>IF($AI$14=0,0,DATOS!$F$15/31)</f>
        <v>6.4516129032258061</v>
      </c>
      <c r="M14" s="4">
        <f>IF($AI$14=0,0,DATOS!$F$15/31)</f>
        <v>6.4516129032258061</v>
      </c>
      <c r="N14" s="4">
        <f>IF($AI$14=0,0,DATOS!$F$15/31)</f>
        <v>6.4516129032258061</v>
      </c>
      <c r="O14" s="4">
        <f>IF($AI$14=0,0,DATOS!$F$15/31)</f>
        <v>6.4516129032258061</v>
      </c>
      <c r="P14" s="4">
        <f>IF($AI$14=0,0,DATOS!$F$15/31)</f>
        <v>6.4516129032258061</v>
      </c>
      <c r="Q14" s="4">
        <f>IF($AI$14=0,0,DATOS!$F$15/31)</f>
        <v>6.4516129032258061</v>
      </c>
      <c r="R14" s="4">
        <f>IF($AI$14=0,0,DATOS!$F$15/31)</f>
        <v>6.4516129032258061</v>
      </c>
      <c r="S14" s="4">
        <f>IF($AI$14=0,0,DATOS!$F$15/31)</f>
        <v>6.4516129032258061</v>
      </c>
      <c r="T14" s="4">
        <f>IF($AI$14=0,0,DATOS!$F$15/31)</f>
        <v>6.4516129032258061</v>
      </c>
      <c r="U14" s="4">
        <f>IF($AI$14=0,0,DATOS!$F$15/31)</f>
        <v>6.4516129032258061</v>
      </c>
      <c r="V14" s="4">
        <f>IF($AI$14=0,0,DATOS!$F$15/31)</f>
        <v>6.4516129032258061</v>
      </c>
      <c r="W14" s="4">
        <f>IF($AI$14=0,0,DATOS!$F$15/31)</f>
        <v>6.4516129032258061</v>
      </c>
      <c r="X14" s="4">
        <f>IF($AI$14=0,0,DATOS!$F$15/31)</f>
        <v>6.4516129032258061</v>
      </c>
      <c r="Y14" s="4">
        <f>IF($AI$14=0,0,DATOS!$F$15/31)</f>
        <v>6.4516129032258061</v>
      </c>
      <c r="Z14" s="4">
        <f>IF($AI$14=0,0,DATOS!$F$15/31)</f>
        <v>6.4516129032258061</v>
      </c>
      <c r="AA14" s="4">
        <f>IF($AI$14=0,0,DATOS!$F$15/31)</f>
        <v>6.4516129032258061</v>
      </c>
      <c r="AB14" s="4">
        <f>IF($AI$14=0,0,DATOS!$F$15/31)</f>
        <v>6.4516129032258061</v>
      </c>
      <c r="AC14" s="4">
        <f>IF($AI$14=0,0,DATOS!$F$15/31)</f>
        <v>6.4516129032258061</v>
      </c>
      <c r="AD14" s="4">
        <f>IF($AI$14=0,0,DATOS!$F$15/31)</f>
        <v>6.4516129032258061</v>
      </c>
      <c r="AE14" s="4">
        <f>IF($AI$14=0,0,DATOS!$F$15/31)</f>
        <v>6.4516129032258061</v>
      </c>
      <c r="AF14" s="4">
        <f>IF($AI$14=0,0,DATOS!$F$15/31)</f>
        <v>6.4516129032258061</v>
      </c>
      <c r="AG14" s="4">
        <f>IF($AI$14=0,0,DATOS!$F$15/31)</f>
        <v>6.4516129032258061</v>
      </c>
      <c r="AH14" s="97">
        <f t="shared" si="1"/>
        <v>199.99999999999986</v>
      </c>
      <c r="AI14" s="100">
        <v>1</v>
      </c>
    </row>
    <row r="15" spans="1:35">
      <c r="A15" s="115"/>
      <c r="B15" s="2" t="s">
        <v>32</v>
      </c>
      <c r="C15" s="4">
        <f>IF($AI$15=0,0,DATOS!$F$16/31)</f>
        <v>8.064516129032258</v>
      </c>
      <c r="D15" s="4">
        <f>IF($AI$15=0,0,DATOS!$F$16/31)</f>
        <v>8.064516129032258</v>
      </c>
      <c r="E15" s="4">
        <f>IF($AI$15=0,0,DATOS!$F$16/31)</f>
        <v>8.064516129032258</v>
      </c>
      <c r="F15" s="4">
        <f>IF($AI$15=0,0,DATOS!$F$16/31)</f>
        <v>8.064516129032258</v>
      </c>
      <c r="G15" s="4">
        <f>IF($AI$15=0,0,DATOS!$F$16/31)</f>
        <v>8.064516129032258</v>
      </c>
      <c r="H15" s="4">
        <f>IF($AI$15=0,0,DATOS!$F$16/31)</f>
        <v>8.064516129032258</v>
      </c>
      <c r="I15" s="4">
        <f>IF($AI$15=0,0,DATOS!$F$16/31)</f>
        <v>8.064516129032258</v>
      </c>
      <c r="J15" s="4">
        <f>IF($AI$15=0,0,DATOS!$F$16/31)</f>
        <v>8.064516129032258</v>
      </c>
      <c r="K15" s="4">
        <f>IF($AI$15=0,0,DATOS!$F$16/31)</f>
        <v>8.064516129032258</v>
      </c>
      <c r="L15" s="4">
        <f>IF($AI$15=0,0,DATOS!$F$16/31)</f>
        <v>8.064516129032258</v>
      </c>
      <c r="M15" s="4">
        <f>IF($AI$15=0,0,DATOS!$F$16/31)</f>
        <v>8.064516129032258</v>
      </c>
      <c r="N15" s="4">
        <f>IF($AI$15=0,0,DATOS!$F$16/31)</f>
        <v>8.064516129032258</v>
      </c>
      <c r="O15" s="4">
        <f>IF($AI$15=0,0,DATOS!$F$16/31)</f>
        <v>8.064516129032258</v>
      </c>
      <c r="P15" s="4">
        <f>IF($AI$15=0,0,DATOS!$F$16/31)</f>
        <v>8.064516129032258</v>
      </c>
      <c r="Q15" s="4">
        <f>IF($AI$15=0,0,DATOS!$F$16/31)</f>
        <v>8.064516129032258</v>
      </c>
      <c r="R15" s="4">
        <f>IF($AI$15=0,0,DATOS!$F$16/31)</f>
        <v>8.064516129032258</v>
      </c>
      <c r="S15" s="4">
        <f>IF($AI$15=0,0,DATOS!$F$16/31)</f>
        <v>8.064516129032258</v>
      </c>
      <c r="T15" s="4">
        <f>IF($AI$15=0,0,DATOS!$F$16/31)</f>
        <v>8.064516129032258</v>
      </c>
      <c r="U15" s="4">
        <f>IF($AI$15=0,0,DATOS!$F$16/31)</f>
        <v>8.064516129032258</v>
      </c>
      <c r="V15" s="4">
        <f>IF($AI$15=0,0,DATOS!$F$16/31)</f>
        <v>8.064516129032258</v>
      </c>
      <c r="W15" s="4">
        <f>IF($AI$15=0,0,DATOS!$F$16/31)</f>
        <v>8.064516129032258</v>
      </c>
      <c r="X15" s="4">
        <f>IF($AI$15=0,0,DATOS!$F$16/31)</f>
        <v>8.064516129032258</v>
      </c>
      <c r="Y15" s="4">
        <f>IF($AI$15=0,0,DATOS!$F$16/31)</f>
        <v>8.064516129032258</v>
      </c>
      <c r="Z15" s="4">
        <f>IF($AI$15=0,0,DATOS!$F$16/31)</f>
        <v>8.064516129032258</v>
      </c>
      <c r="AA15" s="4">
        <f>IF($AI$15=0,0,DATOS!$F$16/31)</f>
        <v>8.064516129032258</v>
      </c>
      <c r="AB15" s="4">
        <f>IF($AI$15=0,0,DATOS!$F$16/31)</f>
        <v>8.064516129032258</v>
      </c>
      <c r="AC15" s="4">
        <f>IF($AI$15=0,0,DATOS!$F$16/31)</f>
        <v>8.064516129032258</v>
      </c>
      <c r="AD15" s="4">
        <f>IF($AI$15=0,0,DATOS!$F$16/31)</f>
        <v>8.064516129032258</v>
      </c>
      <c r="AE15" s="4">
        <f>IF($AI$15=0,0,DATOS!$F$16/31)</f>
        <v>8.064516129032258</v>
      </c>
      <c r="AF15" s="4">
        <f>IF($AI$15=0,0,DATOS!$F$16/31)</f>
        <v>8.064516129032258</v>
      </c>
      <c r="AG15" s="4">
        <f>IF($AI$15=0,0,DATOS!$F$16/31)</f>
        <v>8.064516129032258</v>
      </c>
      <c r="AH15" s="97">
        <f t="shared" si="1"/>
        <v>249.99999999999997</v>
      </c>
      <c r="AI15" s="100">
        <v>1</v>
      </c>
    </row>
    <row r="16" spans="1:35">
      <c r="A16" s="115"/>
      <c r="B16" s="2" t="s">
        <v>33</v>
      </c>
      <c r="C16" s="4">
        <f>IF($AI$16=0,0,DATOS!$F$17/31)</f>
        <v>8.064516129032258</v>
      </c>
      <c r="D16" s="4">
        <f>IF($AI$16=0,0,DATOS!$F$17/31)</f>
        <v>8.064516129032258</v>
      </c>
      <c r="E16" s="4">
        <f>IF($AI$16=0,0,DATOS!$F$17/31)</f>
        <v>8.064516129032258</v>
      </c>
      <c r="F16" s="4">
        <f>IF($AI$16=0,0,DATOS!$F$17/31)</f>
        <v>8.064516129032258</v>
      </c>
      <c r="G16" s="4">
        <f>IF($AI$16=0,0,DATOS!$F$17/31)</f>
        <v>8.064516129032258</v>
      </c>
      <c r="H16" s="4">
        <f>IF($AI$16=0,0,DATOS!$F$17/31)</f>
        <v>8.064516129032258</v>
      </c>
      <c r="I16" s="4">
        <f>IF($AI$16=0,0,DATOS!$F$17/31)</f>
        <v>8.064516129032258</v>
      </c>
      <c r="J16" s="4">
        <f>IF($AI$16=0,0,DATOS!$F$17/31)</f>
        <v>8.064516129032258</v>
      </c>
      <c r="K16" s="4">
        <f>IF($AI$16=0,0,DATOS!$F$17/31)</f>
        <v>8.064516129032258</v>
      </c>
      <c r="L16" s="4">
        <f>IF($AI$16=0,0,DATOS!$F$17/31)</f>
        <v>8.064516129032258</v>
      </c>
      <c r="M16" s="4">
        <f>IF($AI$16=0,0,DATOS!$F$17/31)</f>
        <v>8.064516129032258</v>
      </c>
      <c r="N16" s="4">
        <f>IF($AI$16=0,0,DATOS!$F$17/31)</f>
        <v>8.064516129032258</v>
      </c>
      <c r="O16" s="4">
        <f>IF($AI$16=0,0,DATOS!$F$17/31)</f>
        <v>8.064516129032258</v>
      </c>
      <c r="P16" s="4">
        <f>IF($AI$16=0,0,DATOS!$F$17/31)</f>
        <v>8.064516129032258</v>
      </c>
      <c r="Q16" s="4">
        <f>IF($AI$16=0,0,DATOS!$F$17/31)</f>
        <v>8.064516129032258</v>
      </c>
      <c r="R16" s="4">
        <f>IF($AI$16=0,0,DATOS!$F$17/31)</f>
        <v>8.064516129032258</v>
      </c>
      <c r="S16" s="4">
        <f>IF($AI$16=0,0,DATOS!$F$17/31)</f>
        <v>8.064516129032258</v>
      </c>
      <c r="T16" s="4">
        <f>IF($AI$16=0,0,DATOS!$F$17/31)</f>
        <v>8.064516129032258</v>
      </c>
      <c r="U16" s="4">
        <f>IF($AI$16=0,0,DATOS!$F$17/31)</f>
        <v>8.064516129032258</v>
      </c>
      <c r="V16" s="4">
        <f>IF($AI$16=0,0,DATOS!$F$17/31)</f>
        <v>8.064516129032258</v>
      </c>
      <c r="W16" s="4">
        <f>IF($AI$16=0,0,DATOS!$F$17/31)</f>
        <v>8.064516129032258</v>
      </c>
      <c r="X16" s="4">
        <f>IF($AI$16=0,0,DATOS!$F$17/31)</f>
        <v>8.064516129032258</v>
      </c>
      <c r="Y16" s="4">
        <f>IF($AI$16=0,0,DATOS!$F$17/31)</f>
        <v>8.064516129032258</v>
      </c>
      <c r="Z16" s="4">
        <f>IF($AI$16=0,0,DATOS!$F$17/31)</f>
        <v>8.064516129032258</v>
      </c>
      <c r="AA16" s="4">
        <f>IF($AI$16=0,0,DATOS!$F$17/31)</f>
        <v>8.064516129032258</v>
      </c>
      <c r="AB16" s="4">
        <f>IF($AI$16=0,0,DATOS!$F$17/31)</f>
        <v>8.064516129032258</v>
      </c>
      <c r="AC16" s="4">
        <f>IF($AI$16=0,0,DATOS!$F$17/31)</f>
        <v>8.064516129032258</v>
      </c>
      <c r="AD16" s="4">
        <f>IF($AI$16=0,0,DATOS!$F$17/31)</f>
        <v>8.064516129032258</v>
      </c>
      <c r="AE16" s="4">
        <f>IF($AI$16=0,0,DATOS!$F$17/31)</f>
        <v>8.064516129032258</v>
      </c>
      <c r="AF16" s="4">
        <f>IF($AI$16=0,0,DATOS!$F$17/31)</f>
        <v>8.064516129032258</v>
      </c>
      <c r="AG16" s="4">
        <f>IF($AI$16=0,0,DATOS!$F$17/31)</f>
        <v>8.064516129032258</v>
      </c>
      <c r="AH16" s="97">
        <f t="shared" si="1"/>
        <v>249.99999999999997</v>
      </c>
      <c r="AI16" s="100">
        <v>1</v>
      </c>
    </row>
    <row r="17" spans="1:35">
      <c r="A17" s="116"/>
      <c r="B17" s="40" t="s">
        <v>34</v>
      </c>
      <c r="C17" s="4">
        <f>IF($AI$17=0,0,DATOS!$F$18/31)</f>
        <v>6.4516129032258061</v>
      </c>
      <c r="D17" s="4">
        <f>IF($AI$17=0,0,DATOS!$F$18/31)</f>
        <v>6.4516129032258061</v>
      </c>
      <c r="E17" s="4">
        <f>IF($AI$17=0,0,DATOS!$F$18/31)</f>
        <v>6.4516129032258061</v>
      </c>
      <c r="F17" s="4">
        <f>IF($AI$17=0,0,DATOS!$F$18/31)</f>
        <v>6.4516129032258061</v>
      </c>
      <c r="G17" s="4">
        <f>IF($AI$17=0,0,DATOS!$F$18/31)</f>
        <v>6.4516129032258061</v>
      </c>
      <c r="H17" s="4">
        <f>IF($AI$17=0,0,DATOS!$F$18/31)</f>
        <v>6.4516129032258061</v>
      </c>
      <c r="I17" s="4">
        <f>IF($AI$17=0,0,DATOS!$F$18/31)</f>
        <v>6.4516129032258061</v>
      </c>
      <c r="J17" s="4">
        <f>IF($AI$17=0,0,DATOS!$F$18/31)</f>
        <v>6.4516129032258061</v>
      </c>
      <c r="K17" s="4">
        <f>IF($AI$17=0,0,DATOS!$F$18/31)</f>
        <v>6.4516129032258061</v>
      </c>
      <c r="L17" s="4">
        <f>IF($AI$17=0,0,DATOS!$F$18/31)</f>
        <v>6.4516129032258061</v>
      </c>
      <c r="M17" s="4">
        <f>IF($AI$17=0,0,DATOS!$F$18/31)</f>
        <v>6.4516129032258061</v>
      </c>
      <c r="N17" s="4">
        <f>IF($AI$17=0,0,DATOS!$F$18/31)</f>
        <v>6.4516129032258061</v>
      </c>
      <c r="O17" s="4">
        <f>IF($AI$17=0,0,DATOS!$F$18/31)</f>
        <v>6.4516129032258061</v>
      </c>
      <c r="P17" s="4">
        <f>IF($AI$17=0,0,DATOS!$F$18/31)</f>
        <v>6.4516129032258061</v>
      </c>
      <c r="Q17" s="4">
        <f>IF($AI$17=0,0,DATOS!$F$18/31)</f>
        <v>6.4516129032258061</v>
      </c>
      <c r="R17" s="4">
        <f>IF($AI$17=0,0,DATOS!$F$18/31)</f>
        <v>6.4516129032258061</v>
      </c>
      <c r="S17" s="4">
        <f>IF($AI$17=0,0,DATOS!$F$18/31)</f>
        <v>6.4516129032258061</v>
      </c>
      <c r="T17" s="4">
        <f>IF($AI$17=0,0,DATOS!$F$18/31)</f>
        <v>6.4516129032258061</v>
      </c>
      <c r="U17" s="4">
        <f>IF($AI$17=0,0,DATOS!$F$18/31)</f>
        <v>6.4516129032258061</v>
      </c>
      <c r="V17" s="4">
        <f>IF($AI$17=0,0,DATOS!$F$18/31)</f>
        <v>6.4516129032258061</v>
      </c>
      <c r="W17" s="4">
        <f>IF($AI$17=0,0,DATOS!$F$18/31)</f>
        <v>6.4516129032258061</v>
      </c>
      <c r="X17" s="4">
        <f>IF($AI$17=0,0,DATOS!$F$18/31)</f>
        <v>6.4516129032258061</v>
      </c>
      <c r="Y17" s="4">
        <f>IF($AI$17=0,0,DATOS!$F$18/31)</f>
        <v>6.4516129032258061</v>
      </c>
      <c r="Z17" s="4">
        <f>IF($AI$17=0,0,DATOS!$F$18/31)</f>
        <v>6.4516129032258061</v>
      </c>
      <c r="AA17" s="4">
        <f>IF($AI$17=0,0,DATOS!$F$18/31)</f>
        <v>6.4516129032258061</v>
      </c>
      <c r="AB17" s="4">
        <f>IF($AI$17=0,0,DATOS!$F$18/31)</f>
        <v>6.4516129032258061</v>
      </c>
      <c r="AC17" s="4">
        <f>IF($AI$17=0,0,DATOS!$F$18/31)</f>
        <v>6.4516129032258061</v>
      </c>
      <c r="AD17" s="4">
        <f>IF($AI$17=0,0,DATOS!$F$18/31)</f>
        <v>6.4516129032258061</v>
      </c>
      <c r="AE17" s="4">
        <f>IF($AI$17=0,0,DATOS!$F$18/31)</f>
        <v>6.4516129032258061</v>
      </c>
      <c r="AF17" s="4">
        <f>IF($AI$17=0,0,DATOS!$F$18/31)</f>
        <v>6.4516129032258061</v>
      </c>
      <c r="AG17" s="4">
        <f>IF($AI$17=0,0,DATOS!$F$18/31)</f>
        <v>6.4516129032258061</v>
      </c>
      <c r="AH17" s="98">
        <f t="shared" si="1"/>
        <v>199.99999999999986</v>
      </c>
      <c r="AI17" s="100">
        <v>1</v>
      </c>
    </row>
    <row r="18" spans="1:35">
      <c r="A18" s="117" t="s">
        <v>37</v>
      </c>
      <c r="B18" t="str">
        <f>IF(DATOS!I4="Si",DATOS!J4,DATOS!J5)</f>
        <v>Comision Airbnb [5.5%]</v>
      </c>
      <c r="C18" s="4">
        <f ca="1">IF(DATOS!$G$4="Si",0,C7*DATOS!$L$4)</f>
        <v>55</v>
      </c>
      <c r="D18" s="4">
        <f ca="1">IF(DATOS!$G$4="Si",0,D7*DATOS!$L$4)</f>
        <v>0</v>
      </c>
      <c r="E18" s="4">
        <f ca="1">IF(DATOS!$G$4="Si",0,E7*DATOS!$L$4)</f>
        <v>55</v>
      </c>
      <c r="F18" s="4">
        <f ca="1">IF(DATOS!$G$4="Si",0,F7*DATOS!$L$4)</f>
        <v>55</v>
      </c>
      <c r="G18" s="4">
        <f ca="1">IF(DATOS!$G$4="Si",0,G7*DATOS!$L$4)</f>
        <v>55</v>
      </c>
      <c r="H18" s="4">
        <f ca="1">IF(DATOS!$G$4="Si",0,H7*DATOS!$L$4)</f>
        <v>55</v>
      </c>
      <c r="I18" s="4">
        <f ca="1">IF(DATOS!$G$4="Si",0,I7*DATOS!$L$4)</f>
        <v>0</v>
      </c>
      <c r="J18" s="4">
        <f ca="1">IF(DATOS!$G$4="Si",0,J7*DATOS!$L$4)</f>
        <v>0</v>
      </c>
      <c r="K18" s="4">
        <f ca="1">IF(DATOS!$G$4="Si",0,K7*DATOS!$L$4)</f>
        <v>55</v>
      </c>
      <c r="L18" s="4">
        <f ca="1">IF(DATOS!$G$4="Si",0,L7*DATOS!$L$4)</f>
        <v>55</v>
      </c>
      <c r="M18" s="4">
        <f ca="1">IF(DATOS!$G$4="Si",0,M7*DATOS!$L$4)</f>
        <v>55</v>
      </c>
      <c r="N18" s="4">
        <f ca="1">IF(DATOS!$G$4="Si",0,N7*DATOS!$L$4)</f>
        <v>0</v>
      </c>
      <c r="O18" s="4">
        <f ca="1">IF(DATOS!$G$4="Si",0,O7*DATOS!$L$4)</f>
        <v>55</v>
      </c>
      <c r="P18" s="4">
        <f ca="1">IF(DATOS!$G$4="Si",0,P7*DATOS!$L$4)</f>
        <v>55</v>
      </c>
      <c r="Q18" s="4">
        <f ca="1">IF(DATOS!$G$4="Si",0,Q7*DATOS!$L$4)</f>
        <v>55</v>
      </c>
      <c r="R18" s="4">
        <f ca="1">IF(DATOS!$G$4="Si",0,R7*DATOS!$L$4)</f>
        <v>55</v>
      </c>
      <c r="S18" s="4">
        <f ca="1">IF(DATOS!$G$4="Si",0,S7*DATOS!$L$4)</f>
        <v>0</v>
      </c>
      <c r="T18" s="4">
        <f ca="1">IF(DATOS!$G$4="Si",0,T7*DATOS!$L$4)</f>
        <v>55</v>
      </c>
      <c r="U18" s="4">
        <f ca="1">IF(DATOS!$G$4="Si",0,U7*DATOS!$L$4)</f>
        <v>0</v>
      </c>
      <c r="V18" s="4">
        <f ca="1">IF(DATOS!$G$4="Si",0,V7*DATOS!$L$4)</f>
        <v>0</v>
      </c>
      <c r="W18" s="4">
        <f ca="1">IF(DATOS!$G$4="Si",0,W7*DATOS!$L$4)</f>
        <v>55</v>
      </c>
      <c r="X18" s="4">
        <f ca="1">IF(DATOS!$G$4="Si",0,X7*DATOS!$L$4)</f>
        <v>55</v>
      </c>
      <c r="Y18" s="4">
        <f ca="1">IF(DATOS!$G$4="Si",0,Y7*DATOS!$L$4)</f>
        <v>55</v>
      </c>
      <c r="Z18" s="4">
        <f ca="1">IF(DATOS!$G$4="Si",0,Z7*DATOS!$L$4)</f>
        <v>55</v>
      </c>
      <c r="AA18" s="4">
        <f ca="1">IF(DATOS!$G$4="Si",0,AA7*DATOS!$L$4)</f>
        <v>55</v>
      </c>
      <c r="AB18" s="4">
        <f ca="1">IF(DATOS!$G$4="Si",0,AB7*DATOS!$L$4)</f>
        <v>55</v>
      </c>
      <c r="AC18" s="4">
        <f ca="1">IF(DATOS!$G$4="Si",0,AC7*DATOS!$L$4)</f>
        <v>0</v>
      </c>
      <c r="AD18" s="4">
        <f ca="1">IF(DATOS!$G$4="Si",0,AD7*DATOS!$L$4)</f>
        <v>0</v>
      </c>
      <c r="AE18" s="4">
        <f ca="1">IF(DATOS!$G$4="Si",0,AE7*DATOS!$L$4)</f>
        <v>55</v>
      </c>
      <c r="AF18" s="4">
        <f ca="1">IF(DATOS!$G$4="Si",0,AF7*DATOS!$L$4)</f>
        <v>55</v>
      </c>
      <c r="AG18" s="78">
        <f ca="1">IF(DATOS!$G$4="Si",0,AG7*DATOS!$L$4)</f>
        <v>55</v>
      </c>
      <c r="AH18" s="48">
        <f t="shared" ca="1" si="1"/>
        <v>1210</v>
      </c>
      <c r="AI18" s="19"/>
    </row>
    <row r="19" spans="1:35">
      <c r="A19" s="117"/>
      <c r="B19" s="41" t="s">
        <v>41</v>
      </c>
      <c r="C19" s="4">
        <f ca="1">IF(DATOS!$G$4="Si",0,C7*DATOS!$L$6)</f>
        <v>40</v>
      </c>
      <c r="D19" s="4">
        <f ca="1">IF(DATOS!$G$4="Si",0,D7*DATOS!$L$6)</f>
        <v>0</v>
      </c>
      <c r="E19" s="4">
        <f ca="1">IF(DATOS!$G$4="Si",0,E7*DATOS!$L$6)</f>
        <v>40</v>
      </c>
      <c r="F19" s="4">
        <f ca="1">IF(DATOS!$G$4="Si",0,F7*DATOS!$L$6)</f>
        <v>40</v>
      </c>
      <c r="G19" s="4">
        <f ca="1">IF(DATOS!$G$4="Si",0,G7*DATOS!$L$6)</f>
        <v>40</v>
      </c>
      <c r="H19" s="4">
        <f ca="1">IF(DATOS!$G$4="Si",0,H7*DATOS!$L$6)</f>
        <v>40</v>
      </c>
      <c r="I19" s="4">
        <f ca="1">IF(DATOS!$G$4="Si",0,I7*DATOS!$L$6)</f>
        <v>0</v>
      </c>
      <c r="J19" s="4">
        <f ca="1">IF(DATOS!$G$4="Si",0,J7*DATOS!$L$6)</f>
        <v>0</v>
      </c>
      <c r="K19" s="4">
        <f ca="1">IF(DATOS!$G$4="Si",0,K7*DATOS!$L$6)</f>
        <v>40</v>
      </c>
      <c r="L19" s="4">
        <f ca="1">IF(DATOS!$G$4="Si",0,L7*DATOS!$L$6)</f>
        <v>40</v>
      </c>
      <c r="M19" s="4">
        <f ca="1">IF(DATOS!$G$4="Si",0,M7*DATOS!$L$6)</f>
        <v>40</v>
      </c>
      <c r="N19" s="4">
        <f ca="1">IF(DATOS!$G$4="Si",0,N7*DATOS!$L$6)</f>
        <v>0</v>
      </c>
      <c r="O19" s="4">
        <f ca="1">IF(DATOS!$G$4="Si",0,O7*DATOS!$L$6)</f>
        <v>40</v>
      </c>
      <c r="P19" s="4">
        <f ca="1">IF(DATOS!$G$4="Si",0,P7*DATOS!$L$6)</f>
        <v>40</v>
      </c>
      <c r="Q19" s="4">
        <f ca="1">IF(DATOS!$G$4="Si",0,Q7*DATOS!$L$6)</f>
        <v>40</v>
      </c>
      <c r="R19" s="4">
        <f ca="1">IF(DATOS!$G$4="Si",0,R7*DATOS!$L$6)</f>
        <v>40</v>
      </c>
      <c r="S19" s="4">
        <f ca="1">IF(DATOS!$G$4="Si",0,S7*DATOS!$L$6)</f>
        <v>0</v>
      </c>
      <c r="T19" s="4">
        <f ca="1">IF(DATOS!$G$4="Si",0,T7*DATOS!$L$6)</f>
        <v>40</v>
      </c>
      <c r="U19" s="4">
        <f ca="1">IF(DATOS!$G$4="Si",0,U7*DATOS!$L$6)</f>
        <v>0</v>
      </c>
      <c r="V19" s="4">
        <f ca="1">IF(DATOS!$G$4="Si",0,V7*DATOS!$L$6)</f>
        <v>0</v>
      </c>
      <c r="W19" s="4">
        <f ca="1">IF(DATOS!$G$4="Si",0,W7*DATOS!$L$6)</f>
        <v>40</v>
      </c>
      <c r="X19" s="4">
        <f ca="1">IF(DATOS!$G$4="Si",0,X7*DATOS!$L$6)</f>
        <v>40</v>
      </c>
      <c r="Y19" s="4">
        <f ca="1">IF(DATOS!$G$4="Si",0,Y7*DATOS!$L$6)</f>
        <v>40</v>
      </c>
      <c r="Z19" s="4">
        <f ca="1">IF(DATOS!$G$4="Si",0,Z7*DATOS!$L$6)</f>
        <v>40</v>
      </c>
      <c r="AA19" s="4">
        <f ca="1">IF(DATOS!$G$4="Si",0,AA7*DATOS!$L$6)</f>
        <v>40</v>
      </c>
      <c r="AB19" s="4">
        <f ca="1">IF(DATOS!$G$4="Si",0,AB7*DATOS!$L$6)</f>
        <v>40</v>
      </c>
      <c r="AC19" s="4">
        <f ca="1">IF(DATOS!$G$4="Si",0,AC7*DATOS!$L$6)</f>
        <v>0</v>
      </c>
      <c r="AD19" s="4">
        <f ca="1">IF(DATOS!$G$4="Si",0,AD7*DATOS!$L$6)</f>
        <v>0</v>
      </c>
      <c r="AE19" s="4">
        <f ca="1">IF(DATOS!$G$4="Si",0,AE7*DATOS!$L$6)</f>
        <v>40</v>
      </c>
      <c r="AF19" s="4">
        <f ca="1">IF(DATOS!$G$4="Si",0,AF7*DATOS!$L$6)</f>
        <v>40</v>
      </c>
      <c r="AG19" s="78">
        <f ca="1">IF(DATOS!$G$4="Si",0,AG7*DATOS!$L$6)</f>
        <v>40</v>
      </c>
      <c r="AH19" s="48">
        <f t="shared" ca="1" si="1"/>
        <v>880</v>
      </c>
      <c r="AI19" s="19"/>
    </row>
    <row r="20" spans="1:35">
      <c r="A20" s="118"/>
      <c r="B20" s="45" t="s">
        <v>42</v>
      </c>
      <c r="C20" s="46">
        <f ca="1">IF(DATOS!$G$4="Si",0,C7*DATOS!$L$7)</f>
        <v>80</v>
      </c>
      <c r="D20" s="46">
        <f ca="1">IF(DATOS!$G$4="Si",0,D7*DATOS!$L$7)</f>
        <v>0</v>
      </c>
      <c r="E20" s="46">
        <f ca="1">IF(DATOS!$G$4="Si",0,E7*DATOS!$L$7)</f>
        <v>80</v>
      </c>
      <c r="F20" s="46">
        <f ca="1">IF(DATOS!$G$4="Si",0,F7*DATOS!$L$7)</f>
        <v>80</v>
      </c>
      <c r="G20" s="46">
        <f ca="1">IF(DATOS!$G$4="Si",0,G7*DATOS!$L$7)</f>
        <v>80</v>
      </c>
      <c r="H20" s="46">
        <f ca="1">IF(DATOS!$G$4="Si",0,H7*DATOS!$L$7)</f>
        <v>80</v>
      </c>
      <c r="I20" s="46">
        <f ca="1">IF(DATOS!$G$4="Si",0,I7*DATOS!$L$7)</f>
        <v>0</v>
      </c>
      <c r="J20" s="46">
        <f ca="1">IF(DATOS!$G$4="Si",0,J7*DATOS!$L$7)</f>
        <v>0</v>
      </c>
      <c r="K20" s="46">
        <f ca="1">IF(DATOS!$G$4="Si",0,K7*DATOS!$L$7)</f>
        <v>80</v>
      </c>
      <c r="L20" s="46">
        <f ca="1">IF(DATOS!$G$4="Si",0,L7*DATOS!$L$7)</f>
        <v>80</v>
      </c>
      <c r="M20" s="46">
        <f ca="1">IF(DATOS!$G$4="Si",0,M7*DATOS!$L$7)</f>
        <v>80</v>
      </c>
      <c r="N20" s="46">
        <f ca="1">IF(DATOS!$G$4="Si",0,N7*DATOS!$L$7)</f>
        <v>0</v>
      </c>
      <c r="O20" s="46">
        <f ca="1">IF(DATOS!$G$4="Si",0,O7*DATOS!$L$7)</f>
        <v>80</v>
      </c>
      <c r="P20" s="46">
        <f ca="1">IF(DATOS!$G$4="Si",0,P7*DATOS!$L$7)</f>
        <v>80</v>
      </c>
      <c r="Q20" s="46">
        <f ca="1">IF(DATOS!$G$4="Si",0,Q7*DATOS!$L$7)</f>
        <v>80</v>
      </c>
      <c r="R20" s="46">
        <f ca="1">IF(DATOS!$G$4="Si",0,R7*DATOS!$L$7)</f>
        <v>80</v>
      </c>
      <c r="S20" s="46">
        <f ca="1">IF(DATOS!$G$4="Si",0,S7*DATOS!$L$7)</f>
        <v>0</v>
      </c>
      <c r="T20" s="46">
        <f ca="1">IF(DATOS!$G$4="Si",0,T7*DATOS!$L$7)</f>
        <v>80</v>
      </c>
      <c r="U20" s="46">
        <f ca="1">IF(DATOS!$G$4="Si",0,U7*DATOS!$L$7)</f>
        <v>0</v>
      </c>
      <c r="V20" s="46">
        <f ca="1">IF(DATOS!$G$4="Si",0,V7*DATOS!$L$7)</f>
        <v>0</v>
      </c>
      <c r="W20" s="46">
        <f ca="1">IF(DATOS!$G$4="Si",0,W7*DATOS!$L$7)</f>
        <v>80</v>
      </c>
      <c r="X20" s="46">
        <f ca="1">IF(DATOS!$G$4="Si",0,X7*DATOS!$L$7)</f>
        <v>80</v>
      </c>
      <c r="Y20" s="46">
        <f ca="1">IF(DATOS!$G$4="Si",0,Y7*DATOS!$L$7)</f>
        <v>80</v>
      </c>
      <c r="Z20" s="46">
        <f ca="1">IF(DATOS!$G$4="Si",0,Z7*DATOS!$L$7)</f>
        <v>80</v>
      </c>
      <c r="AA20" s="46">
        <f ca="1">IF(DATOS!$G$4="Si",0,AA7*DATOS!$L$7)</f>
        <v>80</v>
      </c>
      <c r="AB20" s="46">
        <f ca="1">IF(DATOS!$G$4="Si",0,AB7*DATOS!$L$7)</f>
        <v>80</v>
      </c>
      <c r="AC20" s="46">
        <f ca="1">IF(DATOS!$G$4="Si",0,AC7*DATOS!$L$7)</f>
        <v>0</v>
      </c>
      <c r="AD20" s="46">
        <f ca="1">IF(DATOS!$G$4="Si",0,AD7*DATOS!$L$7)</f>
        <v>0</v>
      </c>
      <c r="AE20" s="46">
        <f ca="1">IF(DATOS!$G$4="Si",0,AE7*DATOS!$L$7)</f>
        <v>80</v>
      </c>
      <c r="AF20" s="46">
        <f ca="1">IF(DATOS!$G$4="Si",0,AF7*DATOS!$L$7)</f>
        <v>80</v>
      </c>
      <c r="AG20" s="79">
        <f ca="1">IF(DATOS!$G$4="Si",0,AG7*DATOS!$L$7)</f>
        <v>80</v>
      </c>
      <c r="AH20" s="48">
        <f t="shared" ca="1" si="1"/>
        <v>1760</v>
      </c>
      <c r="AI20" s="19"/>
    </row>
    <row r="21" spans="1:35">
      <c r="A21" s="44" t="s">
        <v>43</v>
      </c>
      <c r="B21" s="50" t="s">
        <v>44</v>
      </c>
      <c r="C21" s="47">
        <f ca="1">IF(DATOS!$G$4="Si",0,C7*DATOS!$L$11)</f>
        <v>200</v>
      </c>
      <c r="D21" s="47">
        <f ca="1">IF(DATOS!$G$4="Si",0,D7*DATOS!$L$11)</f>
        <v>0</v>
      </c>
      <c r="E21" s="47">
        <f ca="1">IF(DATOS!$G$4="Si",0,E7*DATOS!$L$11)</f>
        <v>200</v>
      </c>
      <c r="F21" s="47">
        <f ca="1">IF(DATOS!$G$4="Si",0,F7*DATOS!$L$11)</f>
        <v>200</v>
      </c>
      <c r="G21" s="47">
        <f ca="1">IF(DATOS!$G$4="Si",0,G7*DATOS!$L$11)</f>
        <v>200</v>
      </c>
      <c r="H21" s="47">
        <f ca="1">IF(DATOS!$G$4="Si",0,H7*DATOS!$L$11)</f>
        <v>200</v>
      </c>
      <c r="I21" s="47">
        <f ca="1">IF(DATOS!$G$4="Si",0,I7*DATOS!$L$11)</f>
        <v>0</v>
      </c>
      <c r="J21" s="47">
        <f ca="1">IF(DATOS!$G$4="Si",0,J7*DATOS!$L$11)</f>
        <v>0</v>
      </c>
      <c r="K21" s="47">
        <f ca="1">IF(DATOS!$G$4="Si",0,K7*DATOS!$L$11)</f>
        <v>200</v>
      </c>
      <c r="L21" s="47">
        <f ca="1">IF(DATOS!$G$4="Si",0,L7*DATOS!$L$11)</f>
        <v>200</v>
      </c>
      <c r="M21" s="47">
        <f ca="1">IF(DATOS!$G$4="Si",0,M7*DATOS!$L$11)</f>
        <v>200</v>
      </c>
      <c r="N21" s="47">
        <f ca="1">IF(DATOS!$G$4="Si",0,N7*DATOS!$L$11)</f>
        <v>0</v>
      </c>
      <c r="O21" s="47">
        <f ca="1">IF(DATOS!$G$4="Si",0,O7*DATOS!$L$11)</f>
        <v>200</v>
      </c>
      <c r="P21" s="47">
        <f ca="1">IF(DATOS!$G$4="Si",0,P7*DATOS!$L$11)</f>
        <v>200</v>
      </c>
      <c r="Q21" s="47">
        <f ca="1">IF(DATOS!$G$4="Si",0,Q7*DATOS!$L$11)</f>
        <v>200</v>
      </c>
      <c r="R21" s="47">
        <f ca="1">IF(DATOS!$G$4="Si",0,R7*DATOS!$L$11)</f>
        <v>200</v>
      </c>
      <c r="S21" s="47">
        <f ca="1">IF(DATOS!$G$4="Si",0,S7*DATOS!$L$11)</f>
        <v>0</v>
      </c>
      <c r="T21" s="47">
        <f ca="1">IF(DATOS!$G$4="Si",0,T7*DATOS!$L$11)</f>
        <v>200</v>
      </c>
      <c r="U21" s="47">
        <f ca="1">IF(DATOS!$G$4="Si",0,U7*DATOS!$L$11)</f>
        <v>0</v>
      </c>
      <c r="V21" s="47">
        <f ca="1">IF(DATOS!$G$4="Si",0,V7*DATOS!$L$11)</f>
        <v>0</v>
      </c>
      <c r="W21" s="47">
        <f ca="1">IF(DATOS!$G$4="Si",0,W7*DATOS!$L$11)</f>
        <v>200</v>
      </c>
      <c r="X21" s="47">
        <f ca="1">IF(DATOS!$G$4="Si",0,X7*DATOS!$L$11)</f>
        <v>200</v>
      </c>
      <c r="Y21" s="47">
        <f ca="1">IF(DATOS!$G$4="Si",0,Y7*DATOS!$L$11)</f>
        <v>200</v>
      </c>
      <c r="Z21" s="47">
        <f ca="1">IF(DATOS!$G$4="Si",0,Z7*DATOS!$L$11)</f>
        <v>200</v>
      </c>
      <c r="AA21" s="47">
        <f ca="1">IF(DATOS!$G$4="Si",0,AA7*DATOS!$L$11)</f>
        <v>200</v>
      </c>
      <c r="AB21" s="47">
        <f ca="1">IF(DATOS!$G$4="Si",0,AB7*DATOS!$L$11)</f>
        <v>200</v>
      </c>
      <c r="AC21" s="47">
        <f ca="1">IF(DATOS!$G$4="Si",0,AC7*DATOS!$L$11)</f>
        <v>0</v>
      </c>
      <c r="AD21" s="47">
        <f ca="1">IF(DATOS!$G$4="Si",0,AD7*DATOS!$L$11)</f>
        <v>0</v>
      </c>
      <c r="AE21" s="47">
        <f ca="1">IF(DATOS!$G$4="Si",0,AE7*DATOS!$L$11)</f>
        <v>200</v>
      </c>
      <c r="AF21" s="47">
        <f ca="1">IF(DATOS!$G$4="Si",0,AF7*DATOS!$L$11)</f>
        <v>200</v>
      </c>
      <c r="AG21" s="76">
        <f ca="1">IF(DATOS!$G$4="Si",0,AG7*DATOS!$L$11)</f>
        <v>200</v>
      </c>
      <c r="AH21" s="48">
        <f t="shared" ca="1" si="1"/>
        <v>4400</v>
      </c>
      <c r="AI21" s="19"/>
    </row>
    <row r="22" spans="1:35">
      <c r="A22" s="49" t="s">
        <v>96</v>
      </c>
      <c r="B22" s="51" t="s">
        <v>97</v>
      </c>
      <c r="C22" s="52">
        <f>IF(DATOS!$L$21="Si",DATOS!$K$21/31,0)</f>
        <v>142.73193548387096</v>
      </c>
      <c r="D22" s="52">
        <f>IF(DATOS!$L$21="Si",DATOS!$K$21/31,0)</f>
        <v>142.73193548387096</v>
      </c>
      <c r="E22" s="52">
        <f>IF(DATOS!$L$21="Si",DATOS!$K$21/31,0)</f>
        <v>142.73193548387096</v>
      </c>
      <c r="F22" s="52">
        <f>IF(DATOS!$L$21="Si",DATOS!$K$21/31,0)</f>
        <v>142.73193548387096</v>
      </c>
      <c r="G22" s="52">
        <f>IF(DATOS!$L$21="Si",DATOS!$K$21/31,0)</f>
        <v>142.73193548387096</v>
      </c>
      <c r="H22" s="52">
        <f>IF(DATOS!$L$21="Si",DATOS!$K$21/31,0)</f>
        <v>142.73193548387096</v>
      </c>
      <c r="I22" s="52">
        <f>IF(DATOS!$L$21="Si",DATOS!$K$21/31,0)</f>
        <v>142.73193548387096</v>
      </c>
      <c r="J22" s="52">
        <f>IF(DATOS!$L$21="Si",DATOS!$K$21/31,0)</f>
        <v>142.73193548387096</v>
      </c>
      <c r="K22" s="52">
        <f>IF(DATOS!$L$21="Si",DATOS!$K$21/31,0)</f>
        <v>142.73193548387096</v>
      </c>
      <c r="L22" s="52">
        <f>IF(DATOS!$L$21="Si",DATOS!$K$21/31,0)</f>
        <v>142.73193548387096</v>
      </c>
      <c r="M22" s="52">
        <f>IF(DATOS!$L$21="Si",DATOS!$K$21/31,0)</f>
        <v>142.73193548387096</v>
      </c>
      <c r="N22" s="52">
        <f>IF(DATOS!$L$21="Si",DATOS!$K$21/31,0)</f>
        <v>142.73193548387096</v>
      </c>
      <c r="O22" s="52">
        <f>IF(DATOS!$L$21="Si",DATOS!$K$21/31,0)</f>
        <v>142.73193548387096</v>
      </c>
      <c r="P22" s="52">
        <f>IF(DATOS!$L$21="Si",DATOS!$K$21/31,0)</f>
        <v>142.73193548387096</v>
      </c>
      <c r="Q22" s="52">
        <f>IF(DATOS!$L$21="Si",DATOS!$K$21/31,0)</f>
        <v>142.73193548387096</v>
      </c>
      <c r="R22" s="52">
        <f>IF(DATOS!$L$21="Si",DATOS!$K$21/31,0)</f>
        <v>142.73193548387096</v>
      </c>
      <c r="S22" s="52">
        <f>IF(DATOS!$L$21="Si",DATOS!$K$21/31,0)</f>
        <v>142.73193548387096</v>
      </c>
      <c r="T22" s="52">
        <f>IF(DATOS!$L$21="Si",DATOS!$K$21/31,0)</f>
        <v>142.73193548387096</v>
      </c>
      <c r="U22" s="52">
        <f>IF(DATOS!$L$21="Si",DATOS!$K$21/31,0)</f>
        <v>142.73193548387096</v>
      </c>
      <c r="V22" s="52">
        <f>IF(DATOS!$L$21="Si",DATOS!$K$21/31,0)</f>
        <v>142.73193548387096</v>
      </c>
      <c r="W22" s="52">
        <f>IF(DATOS!$L$21="Si",DATOS!$K$21/31,0)</f>
        <v>142.73193548387096</v>
      </c>
      <c r="X22" s="52">
        <f>IF(DATOS!$L$21="Si",DATOS!$K$21/31,0)</f>
        <v>142.73193548387096</v>
      </c>
      <c r="Y22" s="52">
        <f>IF(DATOS!$L$21="Si",DATOS!$K$21/31,0)</f>
        <v>142.73193548387096</v>
      </c>
      <c r="Z22" s="52">
        <f>IF(DATOS!$L$21="Si",DATOS!$K$21/31,0)</f>
        <v>142.73193548387096</v>
      </c>
      <c r="AA22" s="52">
        <f>IF(DATOS!$L$21="Si",DATOS!$K$21/31,0)</f>
        <v>142.73193548387096</v>
      </c>
      <c r="AB22" s="52">
        <f>IF(DATOS!$L$21="Si",DATOS!$K$21/31,0)</f>
        <v>142.73193548387096</v>
      </c>
      <c r="AC22" s="52">
        <f>IF(DATOS!$L$21="Si",DATOS!$K$21/31,0)</f>
        <v>142.73193548387096</v>
      </c>
      <c r="AD22" s="52">
        <f>IF(DATOS!$L$21="Si",DATOS!$K$21/31,0)</f>
        <v>142.73193548387096</v>
      </c>
      <c r="AE22" s="52">
        <f>IF(DATOS!$L$21="Si",DATOS!$K$21/31,0)</f>
        <v>142.73193548387096</v>
      </c>
      <c r="AF22" s="52">
        <f>IF(DATOS!$L$21="Si",DATOS!$K$21/31,0)</f>
        <v>142.73193548387096</v>
      </c>
      <c r="AG22" s="80">
        <f>IF(DATOS!$L$21="Si",DATOS!$K$21/31,0)</f>
        <v>142.73193548387096</v>
      </c>
      <c r="AH22" s="48">
        <f t="shared" si="1"/>
        <v>4424.6899999999996</v>
      </c>
      <c r="AI22" s="19"/>
    </row>
    <row r="23" spans="1:35">
      <c r="B23" s="53" t="s">
        <v>98</v>
      </c>
      <c r="C23" s="54">
        <f ca="1">SUM(C10:C22)</f>
        <v>593.53838709677416</v>
      </c>
      <c r="D23" s="54">
        <f t="shared" ref="D23:AG23" ca="1" si="2">SUM(D10:D22)</f>
        <v>218.53838709677419</v>
      </c>
      <c r="E23" s="54">
        <f t="shared" ca="1" si="2"/>
        <v>593.53838709677416</v>
      </c>
      <c r="F23" s="54">
        <f t="shared" ca="1" si="2"/>
        <v>593.53838709677416</v>
      </c>
      <c r="G23" s="54">
        <f t="shared" ca="1" si="2"/>
        <v>593.53838709677416</v>
      </c>
      <c r="H23" s="54">
        <f t="shared" ca="1" si="2"/>
        <v>593.53838709677416</v>
      </c>
      <c r="I23" s="54">
        <f t="shared" ca="1" si="2"/>
        <v>218.53838709677419</v>
      </c>
      <c r="J23" s="54">
        <f t="shared" ca="1" si="2"/>
        <v>218.53838709677419</v>
      </c>
      <c r="K23" s="54">
        <f t="shared" ca="1" si="2"/>
        <v>593.53838709677416</v>
      </c>
      <c r="L23" s="54">
        <f t="shared" ca="1" si="2"/>
        <v>593.53838709677416</v>
      </c>
      <c r="M23" s="54">
        <f t="shared" ca="1" si="2"/>
        <v>593.53838709677416</v>
      </c>
      <c r="N23" s="54">
        <f t="shared" ca="1" si="2"/>
        <v>218.53838709677419</v>
      </c>
      <c r="O23" s="54">
        <f t="shared" ca="1" si="2"/>
        <v>593.53838709677416</v>
      </c>
      <c r="P23" s="54">
        <f t="shared" ca="1" si="2"/>
        <v>593.53838709677416</v>
      </c>
      <c r="Q23" s="54">
        <f t="shared" ca="1" si="2"/>
        <v>593.53838709677416</v>
      </c>
      <c r="R23" s="54">
        <f t="shared" ca="1" si="2"/>
        <v>593.53838709677416</v>
      </c>
      <c r="S23" s="54">
        <f t="shared" ca="1" si="2"/>
        <v>218.53838709677419</v>
      </c>
      <c r="T23" s="54">
        <f t="shared" ca="1" si="2"/>
        <v>593.53838709677416</v>
      </c>
      <c r="U23" s="54">
        <f t="shared" ca="1" si="2"/>
        <v>218.53838709677419</v>
      </c>
      <c r="V23" s="54">
        <f t="shared" ca="1" si="2"/>
        <v>218.53838709677419</v>
      </c>
      <c r="W23" s="54">
        <f t="shared" ca="1" si="2"/>
        <v>593.53838709677416</v>
      </c>
      <c r="X23" s="54">
        <f t="shared" ca="1" si="2"/>
        <v>593.53838709677416</v>
      </c>
      <c r="Y23" s="54">
        <f t="shared" ca="1" si="2"/>
        <v>593.53838709677416</v>
      </c>
      <c r="Z23" s="54">
        <f t="shared" ca="1" si="2"/>
        <v>593.53838709677416</v>
      </c>
      <c r="AA23" s="54">
        <f t="shared" ca="1" si="2"/>
        <v>593.53838709677416</v>
      </c>
      <c r="AB23" s="54">
        <f t="shared" ca="1" si="2"/>
        <v>593.53838709677416</v>
      </c>
      <c r="AC23" s="54">
        <f t="shared" ca="1" si="2"/>
        <v>218.53838709677419</v>
      </c>
      <c r="AD23" s="54">
        <f t="shared" ca="1" si="2"/>
        <v>218.53838709677419</v>
      </c>
      <c r="AE23" s="54">
        <f t="shared" ca="1" si="2"/>
        <v>593.53838709677416</v>
      </c>
      <c r="AF23" s="54">
        <f t="shared" ca="1" si="2"/>
        <v>593.53838709677416</v>
      </c>
      <c r="AG23" s="54">
        <f t="shared" ca="1" si="2"/>
        <v>593.53838709677416</v>
      </c>
      <c r="AH23" s="55">
        <f ca="1">SUMPRODUCT(AH10:AH17,AI10:AI17)+AH18+AH19+AH20+AH21+AH22</f>
        <v>15024.689999999999</v>
      </c>
    </row>
    <row r="25" spans="1:35">
      <c r="B25" s="7" t="s">
        <v>99</v>
      </c>
      <c r="C25" s="54">
        <f ca="1">C7-C23</f>
        <v>406.46161290322584</v>
      </c>
      <c r="D25" s="54">
        <f t="shared" ref="D25:AG25" ca="1" si="3">D7-D23</f>
        <v>-218.53838709677419</v>
      </c>
      <c r="E25" s="54">
        <f t="shared" ca="1" si="3"/>
        <v>406.46161290322584</v>
      </c>
      <c r="F25" s="54">
        <f t="shared" ca="1" si="3"/>
        <v>406.46161290322584</v>
      </c>
      <c r="G25" s="54">
        <f t="shared" ca="1" si="3"/>
        <v>406.46161290322584</v>
      </c>
      <c r="H25" s="54">
        <f t="shared" ca="1" si="3"/>
        <v>406.46161290322584</v>
      </c>
      <c r="I25" s="54">
        <f t="shared" ca="1" si="3"/>
        <v>-218.53838709677419</v>
      </c>
      <c r="J25" s="54">
        <f t="shared" ca="1" si="3"/>
        <v>-218.53838709677419</v>
      </c>
      <c r="K25" s="54">
        <f t="shared" ca="1" si="3"/>
        <v>406.46161290322584</v>
      </c>
      <c r="L25" s="54">
        <f t="shared" ca="1" si="3"/>
        <v>406.46161290322584</v>
      </c>
      <c r="M25" s="54">
        <f t="shared" ca="1" si="3"/>
        <v>406.46161290322584</v>
      </c>
      <c r="N25" s="54">
        <f t="shared" ca="1" si="3"/>
        <v>-218.53838709677419</v>
      </c>
      <c r="O25" s="54">
        <f t="shared" ca="1" si="3"/>
        <v>406.46161290322584</v>
      </c>
      <c r="P25" s="54">
        <f t="shared" ca="1" si="3"/>
        <v>406.46161290322584</v>
      </c>
      <c r="Q25" s="54">
        <f t="shared" ca="1" si="3"/>
        <v>406.46161290322584</v>
      </c>
      <c r="R25" s="54">
        <f t="shared" ca="1" si="3"/>
        <v>406.46161290322584</v>
      </c>
      <c r="S25" s="54">
        <f t="shared" ca="1" si="3"/>
        <v>-218.53838709677419</v>
      </c>
      <c r="T25" s="54">
        <f t="shared" ca="1" si="3"/>
        <v>406.46161290322584</v>
      </c>
      <c r="U25" s="54">
        <f t="shared" ca="1" si="3"/>
        <v>-218.53838709677419</v>
      </c>
      <c r="V25" s="54">
        <f t="shared" ca="1" si="3"/>
        <v>-218.53838709677419</v>
      </c>
      <c r="W25" s="54">
        <f t="shared" ca="1" si="3"/>
        <v>406.46161290322584</v>
      </c>
      <c r="X25" s="54">
        <f t="shared" ca="1" si="3"/>
        <v>406.46161290322584</v>
      </c>
      <c r="Y25" s="54">
        <f t="shared" ca="1" si="3"/>
        <v>406.46161290322584</v>
      </c>
      <c r="Z25" s="54">
        <f t="shared" ca="1" si="3"/>
        <v>406.46161290322584</v>
      </c>
      <c r="AA25" s="54">
        <f t="shared" ca="1" si="3"/>
        <v>406.46161290322584</v>
      </c>
      <c r="AB25" s="54">
        <f t="shared" ca="1" si="3"/>
        <v>406.46161290322584</v>
      </c>
      <c r="AC25" s="54">
        <f t="shared" ca="1" si="3"/>
        <v>-218.53838709677419</v>
      </c>
      <c r="AD25" s="54">
        <f t="shared" ca="1" si="3"/>
        <v>-218.53838709677419</v>
      </c>
      <c r="AE25" s="54">
        <f t="shared" ca="1" si="3"/>
        <v>406.46161290322584</v>
      </c>
      <c r="AF25" s="54">
        <f t="shared" ca="1" si="3"/>
        <v>406.46161290322584</v>
      </c>
      <c r="AG25" s="54">
        <f t="shared" ca="1" si="3"/>
        <v>406.46161290322584</v>
      </c>
      <c r="AH25" s="55">
        <f t="shared" ca="1" si="1"/>
        <v>6975.3099999999968</v>
      </c>
    </row>
    <row r="26" spans="1:35" ht="16.2" thickBot="1"/>
    <row r="27" spans="1:35" ht="16.2" thickBot="1">
      <c r="B27" s="56" t="s">
        <v>129</v>
      </c>
      <c r="C27" s="57">
        <f ca="1">C25/(1+(DATOS!$B$23/365))^C3</f>
        <v>406.38367630776952</v>
      </c>
      <c r="D27" s="57">
        <f ca="1">D25/(1+(DATOS!$B$23/365))^D3</f>
        <v>-218.45458826106301</v>
      </c>
      <c r="E27" s="57">
        <f ca="1">E25/(1+(DATOS!$B$23/365))^E3</f>
        <v>406.22784794562671</v>
      </c>
      <c r="F27" s="57">
        <f ca="1">F25/(1+(DATOS!$B$23/365))^F3</f>
        <v>406.14995617321</v>
      </c>
      <c r="G27" s="57">
        <f ca="1">G25/(1+(DATOS!$B$23/365))^G3</f>
        <v>406.07207933607702</v>
      </c>
      <c r="H27" s="57">
        <f ca="1">H25/(1+(DATOS!$B$23/365))^H3</f>
        <v>405.99421743136418</v>
      </c>
      <c r="I27" s="57">
        <f ca="1">I25/(1+(DATOS!$B$23/365))^I3</f>
        <v>-218.24523172572486</v>
      </c>
      <c r="J27" s="57">
        <f ca="1">J25/(1+(DATOS!$B$23/365))^J3</f>
        <v>-218.20338450130001</v>
      </c>
      <c r="K27" s="57">
        <f ca="1">K25/(1+(DATOS!$B$23/365))^K3</f>
        <v>405.76072128311682</v>
      </c>
      <c r="L27" s="57">
        <f ca="1">L25/(1+(DATOS!$B$23/365))^L3</f>
        <v>405.68291907945775</v>
      </c>
      <c r="M27" s="57">
        <f ca="1">M25/(1+(DATOS!$B$23/365))^M3</f>
        <v>405.60513179390819</v>
      </c>
      <c r="N27" s="57">
        <f ca="1">N25/(1+(DATOS!$B$23/365))^N3</f>
        <v>-218.03607582777894</v>
      </c>
      <c r="O27" s="57">
        <f ca="1">O25/(1+(DATOS!$B$23/365))^O3</f>
        <v>405.44960196569662</v>
      </c>
      <c r="P27" s="57">
        <f ca="1">P25/(1+(DATOS!$B$23/365))^P3</f>
        <v>405.37185941731525</v>
      </c>
      <c r="Q27" s="57">
        <f ca="1">Q25/(1+(DATOS!$B$23/365))^Q3</f>
        <v>405.2941317756048</v>
      </c>
      <c r="R27" s="57">
        <f ca="1">R25/(1+(DATOS!$B$23/365))^R3</f>
        <v>405.21641903770723</v>
      </c>
      <c r="S27" s="57">
        <f ca="1">S25/(1+(DATOS!$B$23/365))^S3</f>
        <v>-217.82712037494377</v>
      </c>
      <c r="T27" s="57">
        <f ca="1">T25/(1+(DATOS!$B$23/365))^T3</f>
        <v>405.06103826191986</v>
      </c>
      <c r="U27" s="57">
        <f ca="1">U25/(1+(DATOS!$B$23/365))^U3</f>
        <v>-217.74359427540475</v>
      </c>
      <c r="V27" s="57">
        <f ca="1">V25/(1+(DATOS!$B$23/365))^V3</f>
        <v>-217.70184323697578</v>
      </c>
      <c r="W27" s="57">
        <f ca="1">W25/(1+(DATOS!$B$23/365))^W3</f>
        <v>404.82807880540929</v>
      </c>
      <c r="X27" s="57">
        <f ca="1">X25/(1+(DATOS!$B$23/365))^X3</f>
        <v>404.75045543039533</v>
      </c>
      <c r="Y27" s="57">
        <f ca="1">Y25/(1+(DATOS!$B$23/365))^Y3</f>
        <v>404.67284693920146</v>
      </c>
      <c r="Z27" s="57">
        <f ca="1">Z25/(1+(DATOS!$B$23/365))^Z3</f>
        <v>404.59525332897402</v>
      </c>
      <c r="AA27" s="57">
        <f ca="1">AA25/(1+(DATOS!$B$23/365))^AA3</f>
        <v>404.51767459685959</v>
      </c>
      <c r="AB27" s="57">
        <f ca="1">AB25/(1+(DATOS!$B$23/365))^AB3</f>
        <v>404.44011074000537</v>
      </c>
      <c r="AC27" s="57">
        <f ca="1">AC25/(1+(DATOS!$B$23/365))^AC3</f>
        <v>-217.40981003640132</v>
      </c>
      <c r="AD27" s="57">
        <f ca="1">AD25/(1+(DATOS!$B$23/365))^AD3</f>
        <v>-217.36812299911381</v>
      </c>
      <c r="AE27" s="57">
        <f ca="1">AE25/(1+(DATOS!$B$23/365))^AE3</f>
        <v>404.20750839248421</v>
      </c>
      <c r="AF27" s="57">
        <f ca="1">AF25/(1+(DATOS!$B$23/365))^AF3</f>
        <v>404.13000400815395</v>
      </c>
      <c r="AG27" s="83">
        <f ca="1">AG25/(1+(DATOS!$B$23/365))^AG3</f>
        <v>404.05251448482795</v>
      </c>
      <c r="AH27" s="84">
        <f t="shared" ca="1" si="1"/>
        <v>6953.4742752963775</v>
      </c>
    </row>
    <row r="29" spans="1:35">
      <c r="B29" s="7" t="s">
        <v>128</v>
      </c>
      <c r="C29" s="57">
        <f ca="1">C27</f>
        <v>406.38367630776952</v>
      </c>
      <c r="D29" s="57">
        <f ca="1">C29+D27</f>
        <v>187.92908804670651</v>
      </c>
      <c r="E29" s="57">
        <f t="shared" ref="E29:AG29" ca="1" si="4">D29+E27</f>
        <v>594.15693599233327</v>
      </c>
      <c r="F29" s="57">
        <f t="shared" ca="1" si="4"/>
        <v>1000.3068921655433</v>
      </c>
      <c r="G29" s="57">
        <f t="shared" ca="1" si="4"/>
        <v>1406.3789715016203</v>
      </c>
      <c r="H29" s="57">
        <f t="shared" ca="1" si="4"/>
        <v>1812.3731889329845</v>
      </c>
      <c r="I29" s="57">
        <f t="shared" ca="1" si="4"/>
        <v>1594.1279572072597</v>
      </c>
      <c r="J29" s="57">
        <f t="shared" ca="1" si="4"/>
        <v>1375.9245727059597</v>
      </c>
      <c r="K29" s="57">
        <f t="shared" ca="1" si="4"/>
        <v>1781.6852939890764</v>
      </c>
      <c r="L29" s="57">
        <f t="shared" ca="1" si="4"/>
        <v>2187.3682130685343</v>
      </c>
      <c r="M29" s="57">
        <f t="shared" ca="1" si="4"/>
        <v>2592.9733448624424</v>
      </c>
      <c r="N29" s="57">
        <f t="shared" ca="1" si="4"/>
        <v>2374.9372690346636</v>
      </c>
      <c r="O29" s="57">
        <f t="shared" ca="1" si="4"/>
        <v>2780.3868710003603</v>
      </c>
      <c r="P29" s="57">
        <f t="shared" ca="1" si="4"/>
        <v>3185.7587304176755</v>
      </c>
      <c r="Q29" s="57">
        <f t="shared" ca="1" si="4"/>
        <v>3591.0528621932804</v>
      </c>
      <c r="R29" s="57">
        <f t="shared" ca="1" si="4"/>
        <v>3996.2692812309874</v>
      </c>
      <c r="S29" s="57">
        <f t="shared" ca="1" si="4"/>
        <v>3778.4421608560438</v>
      </c>
      <c r="T29" s="57">
        <f t="shared" ca="1" si="4"/>
        <v>4183.503199117964</v>
      </c>
      <c r="U29" s="57">
        <f t="shared" ca="1" si="4"/>
        <v>3965.7596048425594</v>
      </c>
      <c r="V29" s="57">
        <f t="shared" ca="1" si="4"/>
        <v>3748.0577616055834</v>
      </c>
      <c r="W29" s="57">
        <f t="shared" ca="1" si="4"/>
        <v>4152.8858404109924</v>
      </c>
      <c r="X29" s="57">
        <f t="shared" ca="1" si="4"/>
        <v>4557.6362958413874</v>
      </c>
      <c r="Y29" s="57">
        <f t="shared" ca="1" si="4"/>
        <v>4962.3091427805884</v>
      </c>
      <c r="Z29" s="57">
        <f t="shared" ca="1" si="4"/>
        <v>5366.9043961095622</v>
      </c>
      <c r="AA29" s="57">
        <f t="shared" ca="1" si="4"/>
        <v>5771.4220707064214</v>
      </c>
      <c r="AB29" s="57">
        <f t="shared" ca="1" si="4"/>
        <v>6175.8621814464268</v>
      </c>
      <c r="AC29" s="57">
        <f t="shared" ca="1" si="4"/>
        <v>5958.4523714100251</v>
      </c>
      <c r="AD29" s="57">
        <f t="shared" ca="1" si="4"/>
        <v>5741.0842484109116</v>
      </c>
      <c r="AE29" s="57">
        <f t="shared" ca="1" si="4"/>
        <v>6145.2917568033954</v>
      </c>
      <c r="AF29" s="57">
        <f t="shared" ca="1" si="4"/>
        <v>6549.4217608115496</v>
      </c>
      <c r="AG29" s="57">
        <f t="shared" ca="1" si="4"/>
        <v>6953.4742752963775</v>
      </c>
    </row>
  </sheetData>
  <mergeCells count="2">
    <mergeCell ref="A10:A17"/>
    <mergeCell ref="A18:A20"/>
  </mergeCells>
  <conditionalFormatting sqref="C25:AG25">
    <cfRule type="cellIs" dxfId="11" priority="5" operator="lessThan">
      <formula>0</formula>
    </cfRule>
  </conditionalFormatting>
  <conditionalFormatting sqref="AH25">
    <cfRule type="cellIs" dxfId="10" priority="2" operator="lessThan">
      <formula>0</formula>
    </cfRule>
    <cfRule type="cellIs" dxfId="9" priority="4" operator="lessThan">
      <formula>0</formula>
    </cfRule>
  </conditionalFormatting>
  <conditionalFormatting sqref="AH27">
    <cfRule type="cellIs" dxfId="8" priority="1" operator="lessThan">
      <formula>0</formula>
    </cfRule>
    <cfRule type="cellIs" dxfId="7" priority="3" operator="less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B5131-237C-3A44-B164-D40FAB3EED0A}">
  <sheetPr>
    <tabColor theme="1"/>
  </sheetPr>
  <dimension ref="A1:Q30"/>
  <sheetViews>
    <sheetView topLeftCell="B1" zoomScale="85" zoomScaleNormal="85" workbookViewId="0">
      <selection activeCell="H31" sqref="H31"/>
    </sheetView>
  </sheetViews>
  <sheetFormatPr baseColWidth="10" defaultRowHeight="15.6"/>
  <cols>
    <col min="1" max="1" width="22" bestFit="1" customWidth="1"/>
    <col min="2" max="2" width="38.796875" bestFit="1" customWidth="1"/>
    <col min="3" max="14" width="12.296875" customWidth="1"/>
    <col min="15" max="15" width="14.296875" bestFit="1" customWidth="1"/>
    <col min="16" max="16" width="17.19921875" bestFit="1" customWidth="1"/>
    <col min="17" max="17" width="11.5" bestFit="1" customWidth="1"/>
  </cols>
  <sheetData>
    <row r="1" spans="1:16">
      <c r="B1" s="6" t="s">
        <v>89</v>
      </c>
      <c r="C1" t="str">
        <f>DATOS!L30</f>
        <v>Si</v>
      </c>
    </row>
    <row r="3" spans="1:16">
      <c r="B3" s="7" t="s">
        <v>61</v>
      </c>
      <c r="C3" s="61" t="s">
        <v>103</v>
      </c>
      <c r="D3" s="61" t="s">
        <v>104</v>
      </c>
      <c r="E3" s="61" t="s">
        <v>105</v>
      </c>
      <c r="F3" s="62" t="s">
        <v>106</v>
      </c>
      <c r="G3" s="62" t="s">
        <v>107</v>
      </c>
      <c r="H3" s="62" t="s">
        <v>108</v>
      </c>
      <c r="I3" s="61" t="s">
        <v>109</v>
      </c>
      <c r="J3" s="61" t="s">
        <v>110</v>
      </c>
      <c r="K3" s="62" t="s">
        <v>111</v>
      </c>
      <c r="L3" s="63" t="s">
        <v>112</v>
      </c>
      <c r="M3" s="63" t="s">
        <v>113</v>
      </c>
      <c r="N3" s="61" t="s">
        <v>114</v>
      </c>
      <c r="O3" s="60" t="s">
        <v>119</v>
      </c>
    </row>
    <row r="4" spans="1:16">
      <c r="B4" s="66" t="s">
        <v>90</v>
      </c>
      <c r="C4" s="71">
        <f ca="1">NORMINV(RAND(),82.0097,5.52518 )/100</f>
        <v>0.82858108727736945</v>
      </c>
      <c r="D4" s="71">
        <f ca="1">NORMINV(RAND(),82.0097,5.52518 )/100</f>
        <v>0.80602815218824175</v>
      </c>
      <c r="E4" s="71">
        <f ca="1">NORMINV(RAND(),82.0097,5.52518 )/100</f>
        <v>0.88604506408503814</v>
      </c>
      <c r="F4" s="71">
        <f ca="1">NORMINV(RAND(),30.2226,3.64451 )/100</f>
        <v>0.2567021830913625</v>
      </c>
      <c r="G4" s="71">
        <f ca="1">NORMINV(RAND(),30.2226,3.64451 )/100</f>
        <v>0.2779903604098895</v>
      </c>
      <c r="H4" s="71">
        <f ca="1">NORMINV(RAND(),30.2226,3.64451 )/100</f>
        <v>0.34771116707101313</v>
      </c>
      <c r="I4" s="71">
        <f ca="1">NORMINV(RAND(),82.0097,5.52518 )/100</f>
        <v>0.75491701742532213</v>
      </c>
      <c r="J4" s="71">
        <f ca="1">NORMINV(RAND(),82.0097,5.52518 )/100</f>
        <v>0.85437983816839491</v>
      </c>
      <c r="K4" s="71">
        <f ca="1">NORMINV(RAND(),30.2226,3.64451 )/100</f>
        <v>0.27782701819220457</v>
      </c>
      <c r="L4" s="71">
        <f ca="1">((NORMINV(RAND(),82.0097,5.52518 )/100)+(NORMINV(RAND(),30.2226,3.64451 )/100))/2</f>
        <v>0.5505776013647744</v>
      </c>
      <c r="M4" s="71">
        <f ca="1">((NORMINV(RAND(),82.0097,5.52518 )/100)+(NORMINV(RAND(),30.2226,3.64451 )/100))/2</f>
        <v>0.60534132867242918</v>
      </c>
      <c r="N4" s="71">
        <f ca="1">NORMINV(RAND(),82.0097,5.52518 )/100</f>
        <v>0.77851106771543399</v>
      </c>
      <c r="O4" s="72">
        <f ca="1">AVERAGE(C4:N4)</f>
        <v>0.60205099047178945</v>
      </c>
    </row>
    <row r="5" spans="1:16">
      <c r="B5" s="67" t="s">
        <v>86</v>
      </c>
      <c r="C5" s="72">
        <f ca="1">DATOS!$K$28*FLUJO_MENSUAL!C4</f>
        <v>0.75009474860656311</v>
      </c>
      <c r="D5" s="72">
        <f ca="1">DATOS!$K$28*FLUJO_MENSUAL!D4</f>
        <v>0.72967811294377438</v>
      </c>
      <c r="E5" s="72">
        <f ca="1">DATOS!$K$28*FLUJO_MENSUAL!E4</f>
        <v>0.8021155198977773</v>
      </c>
      <c r="F5" s="72">
        <f ca="1">DATOS!$K$28*FLUJO_MENSUAL!F4</f>
        <v>0.23238638010116033</v>
      </c>
      <c r="G5" s="72">
        <f ca="1">DATOS!$K$28*FLUJO_MENSUAL!G4</f>
        <v>0.25165806063939483</v>
      </c>
      <c r="H5" s="72">
        <f ca="1">DATOS!$K$28*FLUJO_MENSUAL!H4</f>
        <v>0.31477464844007158</v>
      </c>
      <c r="I5" s="72">
        <f ca="1">DATOS!$K$28*FLUJO_MENSUAL!I4</f>
        <v>0.68340841843872158</v>
      </c>
      <c r="J5" s="72">
        <f ca="1">DATOS!$K$28*FLUJO_MENSUAL!J4</f>
        <v>0.77344974410562051</v>
      </c>
      <c r="K5" s="72">
        <f ca="1">DATOS!$K$28*FLUJO_MENSUAL!K4</f>
        <v>0.25151019081519471</v>
      </c>
      <c r="L5" s="72">
        <f ca="1">DATOS!$K$28*FLUJO_MENSUAL!L4</f>
        <v>0.49842480576178916</v>
      </c>
      <c r="M5" s="72">
        <f ca="1">DATOS!$K$28*FLUJO_MENSUAL!M4</f>
        <v>0.54800110541228164</v>
      </c>
      <c r="N5" s="72">
        <f ca="1">DATOS!$K$28*FLUJO_MENSUAL!N4</f>
        <v>0.7047675509276432</v>
      </c>
      <c r="O5" s="72">
        <f ca="1">AVERAGE(C5:N5)</f>
        <v>0.54502244050749937</v>
      </c>
    </row>
    <row r="6" spans="1:16">
      <c r="B6" s="68" t="s">
        <v>115</v>
      </c>
      <c r="C6" s="43">
        <f ca="1">IF(DATOS!$G$4="Si",31,ROUNDUP(C4*C5*31,0))</f>
        <v>20</v>
      </c>
      <c r="D6" s="43">
        <f ca="1">IF(DATOS!$G$4="Si",28,ROUNDUP(D4*D5*31,0))</f>
        <v>19</v>
      </c>
      <c r="E6" s="43">
        <f ca="1">IF(DATOS!$G$4="Si",31,ROUNDUP(E4*E5*31,0))</f>
        <v>23</v>
      </c>
      <c r="F6" s="43">
        <f ca="1">IF(DATOS!$G$4="Si",30,ROUNDUP(F4*F5*31,0))</f>
        <v>2</v>
      </c>
      <c r="G6" s="43">
        <f ca="1">IF(DATOS!$G$4="Si",31,ROUNDUP(G4*G5*31,0))</f>
        <v>3</v>
      </c>
      <c r="H6" s="43">
        <f ca="1">IF(DATOS!$G$4="Si",30,ROUNDUP(H4*H5*31,0))</f>
        <v>4</v>
      </c>
      <c r="I6" s="43">
        <f ca="1">IF(DATOS!$G$4="Si",31,ROUNDUP(I4*I5*31,0))</f>
        <v>16</v>
      </c>
      <c r="J6" s="43">
        <f ca="1">IF(DATOS!$G$4="Si",31,ROUNDUP(J4*J5*31,0))</f>
        <v>21</v>
      </c>
      <c r="K6" s="43">
        <f ca="1">IF(DATOS!$G$4="Si",30,ROUNDUP(K4*K5*31,0))</f>
        <v>3</v>
      </c>
      <c r="L6" s="43">
        <f ca="1">IF(DATOS!$G$4="Si",31,ROUNDUP(L4*L5*31,0))</f>
        <v>9</v>
      </c>
      <c r="M6" s="43">
        <f ca="1">IF(DATOS!$G$4="Si",30,ROUNDUP(M4*M5*31,0))</f>
        <v>11</v>
      </c>
      <c r="N6" s="43">
        <f ca="1">IF(DATOS!$G$4="Si",31,ROUNDUP(N4*N5*31,0))</f>
        <v>18</v>
      </c>
      <c r="O6" s="87">
        <f ca="1">SUM(C6:N6)</f>
        <v>149</v>
      </c>
    </row>
    <row r="7" spans="1:16">
      <c r="B7" s="69" t="s">
        <v>117</v>
      </c>
      <c r="C7" s="48">
        <f ca="1">IF(DATOS!$G$4="Si",(DATOS!$F$4)/31,NORMINV(RAND(),1070.6,367.697))</f>
        <v>982.18540577817214</v>
      </c>
      <c r="D7" s="48">
        <f ca="1">IF(DATOS!$G$4="Si",(DATOS!$F$4)/31,NORMINV(RAND(), 1019, 334.8 ))</f>
        <v>1502.0597194309466</v>
      </c>
      <c r="E7" s="48">
        <f ca="1">IF(DATOS!$G$4="Si",(DATOS!$F$4)/31,NORMINV(RAND(), 1019, 334.8))</f>
        <v>776.14504064555263</v>
      </c>
      <c r="F7" s="48">
        <f ca="1">IF(DATOS!$G$4="Si",(DATOS!$F$4)/31,NORMINV(RAND(), 1012.05, 334.55 ))</f>
        <v>930.88018855066866</v>
      </c>
      <c r="G7" s="48">
        <f ca="1">IF(DATOS!$G$4="Si",(DATOS!$F$4)/31,NORMINV(RAND(), 978.1, 352.35 ))</f>
        <v>-110.60171035271662</v>
      </c>
      <c r="H7" s="48">
        <f ca="1">IF(DATOS!$G$4="Si",(DATOS!$F$4)/31,NORMINV(RAND(), 1013.24, 434.35))</f>
        <v>1667.2434595740242</v>
      </c>
      <c r="I7" s="48">
        <f ca="1">IF(DATOS!$G$4="Si",(DATOS!$F$4)/31,NORMINV(RAND(), 1037.81, 415.65))</f>
        <v>1364.1374402445206</v>
      </c>
      <c r="J7" s="48">
        <f ca="1">IF(DATOS!$G$4="Si",(DATOS!$F$4)/31,NORMINV(RAND(), 999.71, 332.06 ))</f>
        <v>573.81709971751002</v>
      </c>
      <c r="K7" s="48">
        <f ca="1">IF(DATOS!$G$4="Si",(DATOS!$F$4)/31,NORMINV(RAND(), 994.05, 336.04))</f>
        <v>1470.3529881557531</v>
      </c>
      <c r="L7" s="48">
        <f ca="1">IF(DATOS!$G$4="Si",(DATOS!$F$4)/31,NORMINV(RAND(), 1006.52, 331.09))</f>
        <v>908.8206568721954</v>
      </c>
      <c r="M7" s="48">
        <f ca="1">IF(DATOS!$G$4="Si",(DATOS!$F$4)/31,NORMINV(RAND(), 1019, 334.8))</f>
        <v>845.10534800424466</v>
      </c>
      <c r="N7" s="48">
        <f ca="1">IF(DATOS!$G$4="Si",(DATOS!$F$4)/31,NORMINV(RAND(), 1019, 334.8))</f>
        <v>1433.6068237999489</v>
      </c>
      <c r="O7" s="88">
        <f ca="1">AVERAGE(C7:N7)</f>
        <v>1028.6460383684018</v>
      </c>
      <c r="P7" s="64"/>
    </row>
    <row r="8" spans="1:16">
      <c r="B8" s="70" t="s">
        <v>116</v>
      </c>
      <c r="C8" s="55">
        <f ca="1">C6*C7</f>
        <v>19643.708115563444</v>
      </c>
      <c r="D8" s="55">
        <f t="shared" ref="D8:N8" ca="1" si="0">D6*D7</f>
        <v>28539.134669187988</v>
      </c>
      <c r="E8" s="55">
        <f t="shared" ca="1" si="0"/>
        <v>17851.33593484771</v>
      </c>
      <c r="F8" s="55">
        <f t="shared" ca="1" si="0"/>
        <v>1861.7603771013373</v>
      </c>
      <c r="G8" s="55">
        <f t="shared" ca="1" si="0"/>
        <v>-331.80513105814987</v>
      </c>
      <c r="H8" s="55">
        <f t="shared" ca="1" si="0"/>
        <v>6668.9738382960968</v>
      </c>
      <c r="I8" s="55">
        <f t="shared" ca="1" si="0"/>
        <v>21826.199043912329</v>
      </c>
      <c r="J8" s="55">
        <f t="shared" ca="1" si="0"/>
        <v>12050.159094067711</v>
      </c>
      <c r="K8" s="55">
        <f t="shared" ca="1" si="0"/>
        <v>4411.0589644672591</v>
      </c>
      <c r="L8" s="55">
        <f t="shared" ca="1" si="0"/>
        <v>8179.3859118497585</v>
      </c>
      <c r="M8" s="55">
        <f t="shared" ca="1" si="0"/>
        <v>9296.1588280466913</v>
      </c>
      <c r="N8" s="55">
        <f t="shared" ca="1" si="0"/>
        <v>25804.922828399081</v>
      </c>
      <c r="O8" s="89">
        <f t="shared" ref="O8" ca="1" si="1">SUM(C8:N8)</f>
        <v>155800.99247468129</v>
      </c>
    </row>
    <row r="10" spans="1:16">
      <c r="B10" s="7" t="s">
        <v>94</v>
      </c>
      <c r="C10" s="7">
        <v>1</v>
      </c>
      <c r="D10" s="7">
        <v>2</v>
      </c>
      <c r="E10" s="7">
        <v>3</v>
      </c>
      <c r="F10" s="7">
        <v>4</v>
      </c>
      <c r="G10" s="7">
        <v>5</v>
      </c>
      <c r="H10" s="7">
        <v>6</v>
      </c>
      <c r="I10" s="7">
        <v>7</v>
      </c>
      <c r="J10" s="7">
        <v>8</v>
      </c>
      <c r="K10" s="7">
        <v>9</v>
      </c>
      <c r="L10" s="7">
        <v>10</v>
      </c>
      <c r="M10" s="7">
        <v>11</v>
      </c>
      <c r="N10" s="7">
        <v>12</v>
      </c>
      <c r="O10" s="60" t="s">
        <v>119</v>
      </c>
      <c r="P10" s="60" t="s">
        <v>126</v>
      </c>
    </row>
    <row r="11" spans="1:16">
      <c r="A11" s="114" t="s">
        <v>25</v>
      </c>
      <c r="B11" s="40" t="s">
        <v>27</v>
      </c>
      <c r="C11" s="47">
        <f>IF($P$11=0,0,DATOS!$F$11)</f>
        <v>500</v>
      </c>
      <c r="D11" s="47">
        <f>IF($P$11=0,0,DATOS!$F$11)</f>
        <v>500</v>
      </c>
      <c r="E11" s="47">
        <f>IF($P$11=0,0,DATOS!$F$11)</f>
        <v>500</v>
      </c>
      <c r="F11" s="47">
        <f>IF($P$11=0,0,DATOS!$F$11)</f>
        <v>500</v>
      </c>
      <c r="G11" s="47">
        <f>IF($P$11=0,0,DATOS!$F$11)</f>
        <v>500</v>
      </c>
      <c r="H11" s="47">
        <f>IF($P$11=0,0,DATOS!$F$11)</f>
        <v>500</v>
      </c>
      <c r="I11" s="47">
        <f>IF($P$11=0,0,DATOS!$F$11)</f>
        <v>500</v>
      </c>
      <c r="J11" s="47">
        <f>IF($P$11=0,0,DATOS!$F$11)</f>
        <v>500</v>
      </c>
      <c r="K11" s="47">
        <f>IF($P$11=0,0,DATOS!$F$11)</f>
        <v>500</v>
      </c>
      <c r="L11" s="47">
        <f>IF($P$11=0,0,DATOS!$F$11)</f>
        <v>500</v>
      </c>
      <c r="M11" s="47">
        <f>IF($P$11=0,0,DATOS!$F$11)</f>
        <v>500</v>
      </c>
      <c r="N11" s="47">
        <f>IF($P$11=0,0,DATOS!$F$11)</f>
        <v>500</v>
      </c>
      <c r="O11" s="47">
        <f>SUM(C11:N11)</f>
        <v>6000</v>
      </c>
      <c r="P11" s="100">
        <v>1</v>
      </c>
    </row>
    <row r="12" spans="1:16">
      <c r="A12" s="115"/>
      <c r="B12" s="73" t="s">
        <v>29</v>
      </c>
      <c r="C12" s="47">
        <f>IF($P$12=0,0,DATOS!$F$12)</f>
        <v>150</v>
      </c>
      <c r="D12" s="47">
        <f>IF($P$12=0,0,DATOS!$F$12)</f>
        <v>150</v>
      </c>
      <c r="E12" s="47">
        <f>IF($P$12=0,0,DATOS!$F$12)</f>
        <v>150</v>
      </c>
      <c r="F12" s="47">
        <f>IF($P$12=0,0,DATOS!$F$12)</f>
        <v>150</v>
      </c>
      <c r="G12" s="47">
        <f>IF($P$12=0,0,DATOS!$F$12)</f>
        <v>150</v>
      </c>
      <c r="H12" s="47">
        <f>IF($P$12=0,0,DATOS!$F$12)</f>
        <v>150</v>
      </c>
      <c r="I12" s="47">
        <f>IF($P$12=0,0,DATOS!$F$12)</f>
        <v>150</v>
      </c>
      <c r="J12" s="47">
        <f>IF($P$12=0,0,DATOS!$F$12)</f>
        <v>150</v>
      </c>
      <c r="K12" s="47">
        <f>IF($P$12=0,0,DATOS!$F$12)</f>
        <v>150</v>
      </c>
      <c r="L12" s="47">
        <f>IF($P$12=0,0,DATOS!$F$12)</f>
        <v>150</v>
      </c>
      <c r="M12" s="47">
        <f>IF($P$12=0,0,DATOS!$F$12)</f>
        <v>150</v>
      </c>
      <c r="N12" s="47">
        <f>IF($P$12=0,0,DATOS!$F$12)</f>
        <v>150</v>
      </c>
      <c r="O12" s="47">
        <f t="shared" ref="O12:O23" si="2">SUM(C12:N12)</f>
        <v>1800</v>
      </c>
      <c r="P12" s="100">
        <v>1</v>
      </c>
    </row>
    <row r="13" spans="1:16">
      <c r="A13" s="115"/>
      <c r="B13" s="40" t="s">
        <v>36</v>
      </c>
      <c r="C13" s="47">
        <f>IF($P$13=0,0,DATOS!$F$13)</f>
        <v>500</v>
      </c>
      <c r="D13" s="47">
        <f>IF($P$13=0,0,DATOS!$F$13)</f>
        <v>500</v>
      </c>
      <c r="E13" s="47">
        <f>IF($P$13=0,0,DATOS!$F$13)</f>
        <v>500</v>
      </c>
      <c r="F13" s="47">
        <f>IF($P$13=0,0,DATOS!$F$13)</f>
        <v>500</v>
      </c>
      <c r="G13" s="47">
        <f>IF($P$13=0,0,DATOS!$F$13)</f>
        <v>500</v>
      </c>
      <c r="H13" s="47">
        <f>IF($P$13=0,0,DATOS!$F$13)</f>
        <v>500</v>
      </c>
      <c r="I13" s="47">
        <f>IF($P$13=0,0,DATOS!$F$13)</f>
        <v>500</v>
      </c>
      <c r="J13" s="47">
        <f>IF($P$13=0,0,DATOS!$F$13)</f>
        <v>500</v>
      </c>
      <c r="K13" s="47">
        <f>IF($P$13=0,0,DATOS!$F$13)</f>
        <v>500</v>
      </c>
      <c r="L13" s="47">
        <f>IF($P$13=0,0,DATOS!$F$13)</f>
        <v>500</v>
      </c>
      <c r="M13" s="47">
        <f>IF($P$13=0,0,DATOS!$F$13)</f>
        <v>500</v>
      </c>
      <c r="N13" s="47">
        <f>IF($P$13=0,0,DATOS!$F$13)</f>
        <v>500</v>
      </c>
      <c r="O13" s="47">
        <f t="shared" si="2"/>
        <v>6000</v>
      </c>
      <c r="P13" s="100">
        <v>1</v>
      </c>
    </row>
    <row r="14" spans="1:16">
      <c r="A14" s="115"/>
      <c r="B14" s="40" t="s">
        <v>30</v>
      </c>
      <c r="C14" s="47">
        <f>IF($P$14=0,0,DATOS!$F$14)</f>
        <v>300</v>
      </c>
      <c r="D14" s="47">
        <f>IF($P$14=0,0,DATOS!$F$14)</f>
        <v>300</v>
      </c>
      <c r="E14" s="47">
        <f>IF($P$14=0,0,DATOS!$F$14)</f>
        <v>300</v>
      </c>
      <c r="F14" s="47">
        <f>IF($P$14=0,0,DATOS!$F$14)</f>
        <v>300</v>
      </c>
      <c r="G14" s="47">
        <f>IF($P$14=0,0,DATOS!$F$14)</f>
        <v>300</v>
      </c>
      <c r="H14" s="47">
        <f>IF($P$14=0,0,DATOS!$F$14)</f>
        <v>300</v>
      </c>
      <c r="I14" s="47">
        <f>IF($P$14=0,0,DATOS!$F$14)</f>
        <v>300</v>
      </c>
      <c r="J14" s="47">
        <f>IF($P$14=0,0,DATOS!$F$14)</f>
        <v>300</v>
      </c>
      <c r="K14" s="47">
        <f>IF($P$14=0,0,DATOS!$F$14)</f>
        <v>300</v>
      </c>
      <c r="L14" s="47">
        <f>IF($P$14=0,0,DATOS!$F$14)</f>
        <v>300</v>
      </c>
      <c r="M14" s="47">
        <f>IF($P$14=0,0,DATOS!$F$14)</f>
        <v>300</v>
      </c>
      <c r="N14" s="47">
        <f>IF($P$14=0,0,DATOS!$F$14)</f>
        <v>300</v>
      </c>
      <c r="O14" s="47">
        <f t="shared" si="2"/>
        <v>3600</v>
      </c>
      <c r="P14" s="100">
        <v>1</v>
      </c>
    </row>
    <row r="15" spans="1:16">
      <c r="A15" s="115"/>
      <c r="B15" s="40" t="s">
        <v>31</v>
      </c>
      <c r="C15" s="47">
        <f>IF($P$15=0,0,DATOS!$F$15)</f>
        <v>200</v>
      </c>
      <c r="D15" s="47">
        <f>IF($P$15=0,0,DATOS!$F$15)</f>
        <v>200</v>
      </c>
      <c r="E15" s="47">
        <f>IF($P$15=0,0,DATOS!$F$15)</f>
        <v>200</v>
      </c>
      <c r="F15" s="47">
        <f>IF($P$15=0,0,DATOS!$F$15)</f>
        <v>200</v>
      </c>
      <c r="G15" s="47">
        <f>IF($P$15=0,0,DATOS!$F$15)</f>
        <v>200</v>
      </c>
      <c r="H15" s="47">
        <f>IF($P$15=0,0,DATOS!$F$15)</f>
        <v>200</v>
      </c>
      <c r="I15" s="47">
        <f>IF($P$15=0,0,DATOS!$F$15)</f>
        <v>200</v>
      </c>
      <c r="J15" s="47">
        <f>IF($P$15=0,0,DATOS!$F$15)</f>
        <v>200</v>
      </c>
      <c r="K15" s="47">
        <f>IF($P$15=0,0,DATOS!$F$15)</f>
        <v>200</v>
      </c>
      <c r="L15" s="47">
        <f>IF($P$15=0,0,DATOS!$F$15)</f>
        <v>200</v>
      </c>
      <c r="M15" s="47">
        <f>IF($P$15=0,0,DATOS!$F$15)</f>
        <v>200</v>
      </c>
      <c r="N15" s="47">
        <f>IF($P$15=0,0,DATOS!$F$15)</f>
        <v>200</v>
      </c>
      <c r="O15" s="47">
        <f t="shared" si="2"/>
        <v>2400</v>
      </c>
      <c r="P15" s="100">
        <v>1</v>
      </c>
    </row>
    <row r="16" spans="1:16">
      <c r="A16" s="115"/>
      <c r="B16" s="40" t="s">
        <v>32</v>
      </c>
      <c r="C16" s="47">
        <f>IF($P$16=0,0,DATOS!$F$16)</f>
        <v>250</v>
      </c>
      <c r="D16" s="47">
        <f>IF($P$16=0,0,DATOS!$F$16)</f>
        <v>250</v>
      </c>
      <c r="E16" s="47">
        <f>IF($P$16=0,0,DATOS!$F$16)</f>
        <v>250</v>
      </c>
      <c r="F16" s="47">
        <f>IF($P$16=0,0,DATOS!$F$16)</f>
        <v>250</v>
      </c>
      <c r="G16" s="47">
        <f>IF($P$16=0,0,DATOS!$F$16)</f>
        <v>250</v>
      </c>
      <c r="H16" s="47">
        <f>IF($P$16=0,0,DATOS!$F$16)</f>
        <v>250</v>
      </c>
      <c r="I16" s="47">
        <f>IF($P$16=0,0,DATOS!$F$16)</f>
        <v>250</v>
      </c>
      <c r="J16" s="47">
        <f>IF($P$16=0,0,DATOS!$F$16)</f>
        <v>250</v>
      </c>
      <c r="K16" s="47">
        <f>IF($P$16=0,0,DATOS!$F$16)</f>
        <v>250</v>
      </c>
      <c r="L16" s="47">
        <f>IF($P$16=0,0,DATOS!$F$16)</f>
        <v>250</v>
      </c>
      <c r="M16" s="47">
        <f>IF($P$16=0,0,DATOS!$F$16)</f>
        <v>250</v>
      </c>
      <c r="N16" s="47">
        <f>IF($P$16=0,0,DATOS!$F$16)</f>
        <v>250</v>
      </c>
      <c r="O16" s="47">
        <f t="shared" si="2"/>
        <v>3000</v>
      </c>
      <c r="P16" s="100">
        <v>1</v>
      </c>
    </row>
    <row r="17" spans="1:17">
      <c r="A17" s="115"/>
      <c r="B17" s="74" t="s">
        <v>33</v>
      </c>
      <c r="C17" s="47">
        <f>IF($P$17=0,0,DATOS!$F$17)</f>
        <v>250</v>
      </c>
      <c r="D17" s="47">
        <f>IF($P$17=0,0,DATOS!$F$17)</f>
        <v>250</v>
      </c>
      <c r="E17" s="47">
        <f>IF($P$17=0,0,DATOS!$F$17)</f>
        <v>250</v>
      </c>
      <c r="F17" s="47">
        <f>IF($P$17=0,0,DATOS!$F$17)</f>
        <v>250</v>
      </c>
      <c r="G17" s="47">
        <f>IF($P$17=0,0,DATOS!$F$17)</f>
        <v>250</v>
      </c>
      <c r="H17" s="47">
        <f>IF($P$17=0,0,DATOS!$F$17)</f>
        <v>250</v>
      </c>
      <c r="I17" s="47">
        <f>IF($P$17=0,0,DATOS!$F$17)</f>
        <v>250</v>
      </c>
      <c r="J17" s="47">
        <f>IF($P$17=0,0,DATOS!$F$17)</f>
        <v>250</v>
      </c>
      <c r="K17" s="47">
        <f>IF($P$17=0,0,DATOS!$F$17)</f>
        <v>250</v>
      </c>
      <c r="L17" s="47">
        <f>IF($P$17=0,0,DATOS!$F$17)</f>
        <v>250</v>
      </c>
      <c r="M17" s="47">
        <f>IF($P$17=0,0,DATOS!$F$17)</f>
        <v>250</v>
      </c>
      <c r="N17" s="47">
        <f>IF($P$17=0,0,DATOS!$F$17)</f>
        <v>250</v>
      </c>
      <c r="O17" s="47">
        <f t="shared" si="2"/>
        <v>3000</v>
      </c>
      <c r="P17" s="100">
        <v>1</v>
      </c>
    </row>
    <row r="18" spans="1:17">
      <c r="A18" s="119"/>
      <c r="B18" s="66" t="s">
        <v>34</v>
      </c>
      <c r="C18" s="47">
        <f>IF($P$18=0,0,DATOS!$F$18)</f>
        <v>200</v>
      </c>
      <c r="D18" s="47">
        <f>IF($P$18=0,0,DATOS!$F$18)</f>
        <v>200</v>
      </c>
      <c r="E18" s="47">
        <f>IF($P$18=0,0,DATOS!$F$18)</f>
        <v>200</v>
      </c>
      <c r="F18" s="47">
        <f>IF($P$18=0,0,DATOS!$F$18)</f>
        <v>200</v>
      </c>
      <c r="G18" s="47">
        <f>IF($P$18=0,0,DATOS!$F$18)</f>
        <v>200</v>
      </c>
      <c r="H18" s="47">
        <f>IF($P$18=0,0,DATOS!$F$18)</f>
        <v>200</v>
      </c>
      <c r="I18" s="47">
        <f>IF($P$18=0,0,DATOS!$F$18)</f>
        <v>200</v>
      </c>
      <c r="J18" s="47">
        <f>IF($P$18=0,0,DATOS!$F$18)</f>
        <v>200</v>
      </c>
      <c r="K18" s="47">
        <f>IF($P$18=0,0,DATOS!$F$18)</f>
        <v>200</v>
      </c>
      <c r="L18" s="47">
        <f>IF($P$18=0,0,DATOS!$F$18)</f>
        <v>200</v>
      </c>
      <c r="M18" s="47">
        <f>IF($P$18=0,0,DATOS!$F$18)</f>
        <v>200</v>
      </c>
      <c r="N18" s="47">
        <f>IF($P$18=0,0,DATOS!$F$18)</f>
        <v>200</v>
      </c>
      <c r="O18" s="47">
        <f t="shared" si="2"/>
        <v>2400</v>
      </c>
      <c r="P18" s="100">
        <v>1</v>
      </c>
    </row>
    <row r="19" spans="1:17">
      <c r="A19" s="120" t="s">
        <v>37</v>
      </c>
      <c r="B19" s="43" t="str">
        <f>IF(DATOS!I4="Si",DATOS!J4,DATOS!J5)</f>
        <v>Comision Airbnb [5.5%]</v>
      </c>
      <c r="C19" s="75">
        <f ca="1">IF(DATOS!$G$4="Si",0,C8*DATOS!$L$4)</f>
        <v>1080.4039463559895</v>
      </c>
      <c r="D19" s="75">
        <f ca="1">IF(DATOS!$G$4="Si",0,D8*DATOS!$L$4)</f>
        <v>1569.6524068053393</v>
      </c>
      <c r="E19" s="75">
        <f ca="1">IF(DATOS!$G$4="Si",0,E8*DATOS!$L$4)</f>
        <v>981.82347641662409</v>
      </c>
      <c r="F19" s="75">
        <f ca="1">IF(DATOS!$G$4="Si",0,F8*DATOS!$L$4)</f>
        <v>102.39682074057356</v>
      </c>
      <c r="G19" s="75">
        <f ca="1">IF(DATOS!$G$4="Si",0,G8*DATOS!$L$4)</f>
        <v>-18.249282208198242</v>
      </c>
      <c r="H19" s="75">
        <f ca="1">IF(DATOS!$G$4="Si",0,H8*DATOS!$L$4)</f>
        <v>366.79356110628532</v>
      </c>
      <c r="I19" s="75">
        <f ca="1">IF(DATOS!$G$4="Si",0,I8*DATOS!$L$4)</f>
        <v>1200.440947415178</v>
      </c>
      <c r="J19" s="75">
        <f ca="1">IF(DATOS!$G$4="Si",0,J8*DATOS!$L$4)</f>
        <v>662.75875017372414</v>
      </c>
      <c r="K19" s="75">
        <f ca="1">IF(DATOS!$G$4="Si",0,K8*DATOS!$L$4)</f>
        <v>242.60824304569925</v>
      </c>
      <c r="L19" s="75">
        <f ca="1">IF(DATOS!$G$4="Si",0,L8*DATOS!$L$4)</f>
        <v>449.86622515173673</v>
      </c>
      <c r="M19" s="75">
        <f ca="1">IF(DATOS!$G$4="Si",0,M8*DATOS!$L$4)</f>
        <v>511.28873554256802</v>
      </c>
      <c r="N19" s="75">
        <f ca="1">IF(DATOS!$G$4="Si",0,N8*DATOS!$L$4)</f>
        <v>1419.2707555619495</v>
      </c>
      <c r="O19" s="47">
        <f t="shared" ca="1" si="2"/>
        <v>8569.0545861074697</v>
      </c>
    </row>
    <row r="20" spans="1:17">
      <c r="A20" s="120"/>
      <c r="B20" s="43" t="s">
        <v>41</v>
      </c>
      <c r="C20" s="4">
        <f ca="1">IF(DATOS!$G$4="Si",0,C8*DATOS!$L$6)</f>
        <v>785.74832462253778</v>
      </c>
      <c r="D20" s="4">
        <f ca="1">IF(DATOS!$G$4="Si",0,D8*DATOS!$L$6)</f>
        <v>1141.5653867675196</v>
      </c>
      <c r="E20" s="4">
        <f ca="1">IF(DATOS!$G$4="Si",0,E8*DATOS!$L$6)</f>
        <v>714.05343739390844</v>
      </c>
      <c r="F20" s="4">
        <f ca="1">IF(DATOS!$G$4="Si",0,F8*DATOS!$L$6)</f>
        <v>74.470415084053499</v>
      </c>
      <c r="G20" s="4">
        <f ca="1">IF(DATOS!$G$4="Si",0,G8*DATOS!$L$6)</f>
        <v>-13.272205242325995</v>
      </c>
      <c r="H20" s="4">
        <f ca="1">IF(DATOS!$G$4="Si",0,H8*DATOS!$L$6)</f>
        <v>266.75895353184387</v>
      </c>
      <c r="I20" s="4">
        <f ca="1">IF(DATOS!$G$4="Si",0,I8*DATOS!$L$6)</f>
        <v>873.04796175649324</v>
      </c>
      <c r="J20" s="4">
        <f ca="1">IF(DATOS!$G$4="Si",0,J8*DATOS!$L$6)</f>
        <v>482.00636376270842</v>
      </c>
      <c r="K20" s="4">
        <f ca="1">IF(DATOS!$G$4="Si",0,K8*DATOS!$L$6)</f>
        <v>176.44235857869037</v>
      </c>
      <c r="L20" s="4">
        <f ca="1">IF(DATOS!$G$4="Si",0,L8*DATOS!$L$6)</f>
        <v>327.17543647399037</v>
      </c>
      <c r="M20" s="4">
        <f ca="1">IF(DATOS!$G$4="Si",0,M8*DATOS!$L$6)</f>
        <v>371.84635312186765</v>
      </c>
      <c r="N20" s="4">
        <f ca="1">IF(DATOS!$G$4="Si",0,N8*DATOS!$L$6)</f>
        <v>1032.1969131359633</v>
      </c>
      <c r="O20" s="47">
        <f t="shared" ca="1" si="2"/>
        <v>6232.0396989872515</v>
      </c>
    </row>
    <row r="21" spans="1:17">
      <c r="A21" s="121"/>
      <c r="B21" s="43" t="s">
        <v>42</v>
      </c>
      <c r="C21" s="46">
        <f ca="1">IF(DATOS!$G$4="Si",0,C8*DATOS!$L$7)</f>
        <v>1571.4966492450756</v>
      </c>
      <c r="D21" s="46">
        <f ca="1">IF(DATOS!$G$4="Si",0,D8*DATOS!$L$7)</f>
        <v>2283.1307735350392</v>
      </c>
      <c r="E21" s="46">
        <f ca="1">IF(DATOS!$G$4="Si",0,E8*DATOS!$L$7)</f>
        <v>1428.1068747878169</v>
      </c>
      <c r="F21" s="46">
        <f ca="1">IF(DATOS!$G$4="Si",0,F8*DATOS!$L$7)</f>
        <v>148.940830168107</v>
      </c>
      <c r="G21" s="46">
        <f ca="1">IF(DATOS!$G$4="Si",0,G8*DATOS!$L$7)</f>
        <v>-26.544410484651991</v>
      </c>
      <c r="H21" s="46">
        <f ca="1">IF(DATOS!$G$4="Si",0,H8*DATOS!$L$7)</f>
        <v>533.51790706368774</v>
      </c>
      <c r="I21" s="46">
        <f ca="1">IF(DATOS!$G$4="Si",0,I8*DATOS!$L$7)</f>
        <v>1746.0959235129865</v>
      </c>
      <c r="J21" s="46">
        <f ca="1">IF(DATOS!$G$4="Si",0,J8*DATOS!$L$7)</f>
        <v>964.01272752541684</v>
      </c>
      <c r="K21" s="46">
        <f ca="1">IF(DATOS!$G$4="Si",0,K8*DATOS!$L$7)</f>
        <v>352.88471715738075</v>
      </c>
      <c r="L21" s="46">
        <f ca="1">IF(DATOS!$G$4="Si",0,L8*DATOS!$L$7)</f>
        <v>654.35087294798075</v>
      </c>
      <c r="M21" s="46">
        <f ca="1">IF(DATOS!$G$4="Si",0,M8*DATOS!$L$7)</f>
        <v>743.6927062437353</v>
      </c>
      <c r="N21" s="46">
        <f ca="1">IF(DATOS!$G$4="Si",0,N8*DATOS!$L$7)</f>
        <v>2064.3938262719266</v>
      </c>
      <c r="O21" s="47">
        <f t="shared" ca="1" si="2"/>
        <v>12464.079397974503</v>
      </c>
    </row>
    <row r="22" spans="1:17">
      <c r="A22" s="44" t="s">
        <v>43</v>
      </c>
      <c r="B22" s="50" t="s">
        <v>44</v>
      </c>
      <c r="C22" s="47">
        <f ca="1">IF(DATOS!$G$4="Si",0,C8*DATOS!$L$11)</f>
        <v>3928.741623112689</v>
      </c>
      <c r="D22" s="47">
        <f ca="1">IF(DATOS!$G$4="Si",0,D8*DATOS!$L$11)</f>
        <v>5707.8269338375976</v>
      </c>
      <c r="E22" s="47">
        <f ca="1">IF(DATOS!$G$4="Si",0,E8*DATOS!$L$11)</f>
        <v>3570.2671869695423</v>
      </c>
      <c r="F22" s="47">
        <f ca="1">IF(DATOS!$G$4="Si",0,F8*DATOS!$L$11)</f>
        <v>372.35207542026751</v>
      </c>
      <c r="G22" s="47">
        <f ca="1">IF(DATOS!$G$4="Si",0,G8*DATOS!$L$11)</f>
        <v>-66.361026211629977</v>
      </c>
      <c r="H22" s="47">
        <f ca="1">IF(DATOS!$G$4="Si",0,H8*DATOS!$L$11)</f>
        <v>1333.7947676592194</v>
      </c>
      <c r="I22" s="47">
        <f ca="1">IF(DATOS!$G$4="Si",0,I8*DATOS!$L$11)</f>
        <v>4365.2398087824658</v>
      </c>
      <c r="J22" s="47">
        <f ca="1">IF(DATOS!$G$4="Si",0,J8*DATOS!$L$11)</f>
        <v>2410.031818813542</v>
      </c>
      <c r="K22" s="47">
        <f ca="1">IF(DATOS!$G$4="Si",0,K8*DATOS!$L$11)</f>
        <v>882.21179289345184</v>
      </c>
      <c r="L22" s="47">
        <f ca="1">IF(DATOS!$G$4="Si",0,L8*DATOS!$L$11)</f>
        <v>1635.8771823699517</v>
      </c>
      <c r="M22" s="47">
        <f ca="1">IF(DATOS!$G$4="Si",0,M8*DATOS!$L$11)</f>
        <v>1859.2317656093383</v>
      </c>
      <c r="N22" s="47">
        <f ca="1">IF(DATOS!$G$4="Si",0,N8*DATOS!$L$11)</f>
        <v>5160.984565679817</v>
      </c>
      <c r="O22" s="47">
        <f t="shared" ca="1" si="2"/>
        <v>31160.198494936249</v>
      </c>
    </row>
    <row r="23" spans="1:17">
      <c r="A23" s="49" t="s">
        <v>96</v>
      </c>
      <c r="B23" s="51" t="s">
        <v>97</v>
      </c>
      <c r="C23" s="52">
        <f>IF(DATOS!$L$21="Si",DATOS!$K$21,0)</f>
        <v>4424.6899999999996</v>
      </c>
      <c r="D23" s="52">
        <f>IF(DATOS!$L$21="Si",DATOS!$K$21,0)</f>
        <v>4424.6899999999996</v>
      </c>
      <c r="E23" s="52">
        <f>IF(DATOS!$L$21="Si",DATOS!$K$21,0)</f>
        <v>4424.6899999999996</v>
      </c>
      <c r="F23" s="52">
        <f>IF(DATOS!$L$21="Si",DATOS!$K$21,0)</f>
        <v>4424.6899999999996</v>
      </c>
      <c r="G23" s="52">
        <f>IF(DATOS!$L$21="Si",DATOS!$K$21,0)</f>
        <v>4424.6899999999996</v>
      </c>
      <c r="H23" s="52">
        <f>IF(DATOS!$L$21="Si",DATOS!$K$21,0)</f>
        <v>4424.6899999999996</v>
      </c>
      <c r="I23" s="52">
        <f>IF(DATOS!$L$21="Si",DATOS!$K$21,0)</f>
        <v>4424.6899999999996</v>
      </c>
      <c r="J23" s="52">
        <f>IF(DATOS!$L$21="Si",DATOS!$K$21,0)</f>
        <v>4424.6899999999996</v>
      </c>
      <c r="K23" s="52">
        <f>IF(DATOS!$L$21="Si",DATOS!$K$21,0)</f>
        <v>4424.6899999999996</v>
      </c>
      <c r="L23" s="52">
        <f>IF(DATOS!$L$21="Si",DATOS!$K$21,0)</f>
        <v>4424.6899999999996</v>
      </c>
      <c r="M23" s="52">
        <f>IF(DATOS!$L$21="Si",DATOS!$K$21,0)</f>
        <v>4424.6899999999996</v>
      </c>
      <c r="N23" s="80">
        <f>IF(DATOS!$L$21="Si",DATOS!$K$21,0)</f>
        <v>4424.6899999999996</v>
      </c>
      <c r="O23" s="47">
        <f t="shared" si="2"/>
        <v>53096.280000000006</v>
      </c>
    </row>
    <row r="24" spans="1:17">
      <c r="B24" s="53" t="s">
        <v>118</v>
      </c>
      <c r="C24" s="54">
        <f ca="1">SUM(C11:C23)</f>
        <v>14141.080543336291</v>
      </c>
      <c r="D24" s="54">
        <f t="shared" ref="D24:N24" ca="1" si="3">SUM(D11:D23)</f>
        <v>17476.865500945496</v>
      </c>
      <c r="E24" s="54">
        <f t="shared" ca="1" si="3"/>
        <v>13468.94097556789</v>
      </c>
      <c r="F24" s="54">
        <f t="shared" ca="1" si="3"/>
        <v>7472.8501414130014</v>
      </c>
      <c r="G24" s="54">
        <f t="shared" ca="1" si="3"/>
        <v>6650.2630758531941</v>
      </c>
      <c r="H24" s="54">
        <f t="shared" ca="1" si="3"/>
        <v>9275.5551893610354</v>
      </c>
      <c r="I24" s="54">
        <f t="shared" ca="1" si="3"/>
        <v>14959.514641467122</v>
      </c>
      <c r="J24" s="54">
        <f t="shared" ca="1" si="3"/>
        <v>11293.499660275393</v>
      </c>
      <c r="K24" s="54">
        <f t="shared" ca="1" si="3"/>
        <v>8428.8371116752205</v>
      </c>
      <c r="L24" s="54">
        <f t="shared" ca="1" si="3"/>
        <v>9841.9597169436602</v>
      </c>
      <c r="M24" s="54">
        <f t="shared" ca="1" si="3"/>
        <v>10260.74956051751</v>
      </c>
      <c r="N24" s="81">
        <f t="shared" ca="1" si="3"/>
        <v>16451.536060649654</v>
      </c>
      <c r="O24" s="82">
        <f ca="1">SUMPRODUCT(O11:O18,P11:P18)+O19+O20+O21+O22+O23</f>
        <v>139721.65217800549</v>
      </c>
    </row>
    <row r="25" spans="1:17">
      <c r="Q25" s="64"/>
    </row>
    <row r="26" spans="1:17">
      <c r="B26" s="7" t="s">
        <v>124</v>
      </c>
      <c r="C26" s="54">
        <f ca="1">C8-C24</f>
        <v>5502.627572227153</v>
      </c>
      <c r="D26" s="54">
        <f t="shared" ref="D26:N26" ca="1" si="4">D8-D24</f>
        <v>11062.269168242492</v>
      </c>
      <c r="E26" s="54">
        <f t="shared" ca="1" si="4"/>
        <v>4382.3949592798199</v>
      </c>
      <c r="F26" s="54">
        <f t="shared" ca="1" si="4"/>
        <v>-5611.0897643116641</v>
      </c>
      <c r="G26" s="54">
        <f t="shared" ca="1" si="4"/>
        <v>-6982.0682069113436</v>
      </c>
      <c r="H26" s="54">
        <f t="shared" ca="1" si="4"/>
        <v>-2606.5813510649386</v>
      </c>
      <c r="I26" s="54">
        <f t="shared" ca="1" si="4"/>
        <v>6866.6844024452075</v>
      </c>
      <c r="J26" s="54">
        <f t="shared" ca="1" si="4"/>
        <v>756.65943379231794</v>
      </c>
      <c r="K26" s="54">
        <f t="shared" ca="1" si="4"/>
        <v>-4017.7781472079614</v>
      </c>
      <c r="L26" s="54">
        <f t="shared" ca="1" si="4"/>
        <v>-1662.5738050939017</v>
      </c>
      <c r="M26" s="54">
        <f t="shared" ca="1" si="4"/>
        <v>-964.59073247081869</v>
      </c>
      <c r="N26" s="54">
        <f t="shared" ca="1" si="4"/>
        <v>9353.3867677494272</v>
      </c>
      <c r="O26" s="86">
        <f ca="1">SUM(C26:N26)</f>
        <v>16079.340296675789</v>
      </c>
    </row>
    <row r="27" spans="1:17" ht="16.2" thickBot="1"/>
    <row r="28" spans="1:17" ht="16.2" thickBot="1">
      <c r="B28" s="56" t="s">
        <v>100</v>
      </c>
      <c r="C28" s="57">
        <f ca="1">C26/(1+(DATOS!$B$23/12))^C10</f>
        <v>5470.7150676657693</v>
      </c>
      <c r="D28" s="57">
        <f ca="1">D26/(1+(DATOS!$B$23/12))^D10</f>
        <v>10934.329914952879</v>
      </c>
      <c r="E28" s="57">
        <f ca="1">E26/(1+(DATOS!$B$23/12))^E10</f>
        <v>4306.5891631103104</v>
      </c>
      <c r="F28" s="57">
        <f ca="1">F26/(1+(DATOS!$B$23/12))^F10</f>
        <v>-5482.0516154186726</v>
      </c>
      <c r="G28" s="57">
        <f ca="1">G26/(1+(DATOS!$B$23/12))^G10</f>
        <v>-6781.9403680972109</v>
      </c>
      <c r="H28" s="57">
        <f ca="1">H26/(1+(DATOS!$B$23/12))^H10</f>
        <v>-2517.18502518075</v>
      </c>
      <c r="I28" s="57">
        <f ca="1">I26/(1+(DATOS!$B$23/12))^I10</f>
        <v>6592.7243697266103</v>
      </c>
      <c r="J28" s="57">
        <f ca="1">J26/(1+(DATOS!$B$23/12))^J10</f>
        <v>722.25782993953271</v>
      </c>
      <c r="K28" s="57">
        <f ca="1">K26/(1+(DATOS!$B$23/12))^K10</f>
        <v>-3812.8676964125311</v>
      </c>
      <c r="L28" s="57">
        <f ca="1">L26/(1+(DATOS!$B$23/12))^L10</f>
        <v>-1568.6306375561405</v>
      </c>
      <c r="M28" s="57">
        <f ca="1">M26/(1+(DATOS!$B$23/12))^M10</f>
        <v>-904.80880972883313</v>
      </c>
      <c r="N28" s="83">
        <f ca="1">N26/(1+(DATOS!$B$23/12))^N10</f>
        <v>8722.8138492903345</v>
      </c>
      <c r="O28" s="85">
        <f ca="1">SUM(C28:N28)</f>
        <v>15681.9460422913</v>
      </c>
    </row>
    <row r="30" spans="1:17">
      <c r="B30" s="7" t="s">
        <v>127</v>
      </c>
      <c r="C30" s="57">
        <f ca="1">C28</f>
        <v>5470.7150676657693</v>
      </c>
      <c r="D30" s="57">
        <f ca="1">C30+D28</f>
        <v>16405.044982618649</v>
      </c>
      <c r="E30" s="57">
        <f t="shared" ref="E30:N30" ca="1" si="5">D30+E28</f>
        <v>20711.63414572896</v>
      </c>
      <c r="F30" s="57">
        <f t="shared" ca="1" si="5"/>
        <v>15229.582530310287</v>
      </c>
      <c r="G30" s="57">
        <f t="shared" ca="1" si="5"/>
        <v>8447.6421622130765</v>
      </c>
      <c r="H30" s="57">
        <f t="shared" ca="1" si="5"/>
        <v>5930.4571370323265</v>
      </c>
      <c r="I30" s="57">
        <f t="shared" ca="1" si="5"/>
        <v>12523.181506758938</v>
      </c>
      <c r="J30" s="57">
        <f t="shared" ca="1" si="5"/>
        <v>13245.43933669847</v>
      </c>
      <c r="K30" s="57">
        <f t="shared" ca="1" si="5"/>
        <v>9432.571640285938</v>
      </c>
      <c r="L30" s="57">
        <f t="shared" ca="1" si="5"/>
        <v>7863.9410027297972</v>
      </c>
      <c r="M30" s="57">
        <f t="shared" ca="1" si="5"/>
        <v>6959.1321930009644</v>
      </c>
      <c r="N30" s="57">
        <f t="shared" ca="1" si="5"/>
        <v>15681.9460422913</v>
      </c>
    </row>
  </sheetData>
  <mergeCells count="2">
    <mergeCell ref="A11:A18"/>
    <mergeCell ref="A19:A21"/>
  </mergeCells>
  <conditionalFormatting sqref="C26:N26">
    <cfRule type="cellIs" dxfId="6" priority="3" operator="lessThan">
      <formula>0</formula>
    </cfRule>
  </conditionalFormatting>
  <conditionalFormatting sqref="O26">
    <cfRule type="cellIs" dxfId="5" priority="2" operator="lessThan">
      <formula>0</formula>
    </cfRule>
  </conditionalFormatting>
  <conditionalFormatting sqref="O28">
    <cfRule type="cellIs" dxfId="4" priority="1" operator="lessThan">
      <formula>0</formula>
    </cfRule>
  </conditionalFormatting>
  <pageMargins left="0.7" right="0.7" top="0.75" bottom="0.75" header="0.3" footer="0.3"/>
  <ignoredErrors>
    <ignoredError sqref="O6:O7 L6:M6 K6 G6:H6 F6 D6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6D536-E821-F64E-918B-95EB0BF2B414}">
  <sheetPr>
    <tabColor theme="1"/>
  </sheetPr>
  <dimension ref="A1:X32"/>
  <sheetViews>
    <sheetView topLeftCell="B1" zoomScale="115" zoomScaleNormal="115" workbookViewId="0">
      <selection activeCell="D3" sqref="D3"/>
    </sheetView>
  </sheetViews>
  <sheetFormatPr baseColWidth="10" defaultRowHeight="15.6"/>
  <cols>
    <col min="2" max="2" width="38.796875" bestFit="1" customWidth="1"/>
    <col min="3" max="22" width="16.296875" customWidth="1"/>
    <col min="23" max="24" width="17.19921875" bestFit="1" customWidth="1"/>
  </cols>
  <sheetData>
    <row r="1" spans="1:24">
      <c r="B1" s="6" t="s">
        <v>89</v>
      </c>
      <c r="C1" t="str">
        <f>DATOS!L30</f>
        <v>Si</v>
      </c>
    </row>
    <row r="3" spans="1:24">
      <c r="B3" s="7" t="s">
        <v>61</v>
      </c>
      <c r="C3" s="7">
        <v>1</v>
      </c>
      <c r="D3" s="7">
        <v>2</v>
      </c>
      <c r="E3" s="7">
        <v>3</v>
      </c>
      <c r="F3" s="7">
        <v>4</v>
      </c>
      <c r="G3" s="7">
        <v>5</v>
      </c>
      <c r="H3" s="7">
        <v>6</v>
      </c>
      <c r="I3" s="7">
        <v>7</v>
      </c>
      <c r="J3" s="7">
        <v>8</v>
      </c>
      <c r="K3" s="7">
        <v>9</v>
      </c>
      <c r="L3" s="7">
        <v>10</v>
      </c>
      <c r="M3" s="7">
        <v>11</v>
      </c>
      <c r="N3" s="7">
        <v>12</v>
      </c>
      <c r="O3" s="7">
        <v>13</v>
      </c>
      <c r="P3" s="7">
        <v>14</v>
      </c>
      <c r="Q3" s="7">
        <v>15</v>
      </c>
      <c r="R3" s="7">
        <v>16</v>
      </c>
      <c r="S3" s="7">
        <v>17</v>
      </c>
      <c r="T3" s="7">
        <v>18</v>
      </c>
      <c r="U3" s="7">
        <v>19</v>
      </c>
      <c r="V3" s="7">
        <v>20</v>
      </c>
      <c r="W3" s="7" t="s">
        <v>119</v>
      </c>
    </row>
    <row r="4" spans="1:24">
      <c r="B4" s="66" t="s">
        <v>90</v>
      </c>
      <c r="C4" s="71">
        <f ca="1">(7*((NORMINV(RAND(),82.0097,5.52518)/100))+5*((NORMINV(RAND(),30.2226,3.64451)/100)))/12</f>
        <v>0.62716444142957883</v>
      </c>
      <c r="D4" s="71">
        <f t="shared" ref="D4:V4" ca="1" si="0">(7*((NORMINV(RAND(),82.0097,5.52518)/100))+5*((NORMINV(RAND(),30.2226,3.64451)/100)))/12</f>
        <v>0.56771721775946504</v>
      </c>
      <c r="E4" s="71">
        <f t="shared" ca="1" si="0"/>
        <v>0.62278444020378299</v>
      </c>
      <c r="F4" s="71">
        <f t="shared" ca="1" si="0"/>
        <v>0.64907905865121929</v>
      </c>
      <c r="G4" s="71">
        <f t="shared" ca="1" si="0"/>
        <v>0.50995099763924812</v>
      </c>
      <c r="H4" s="71">
        <f t="shared" ca="1" si="0"/>
        <v>0.59678336672598165</v>
      </c>
      <c r="I4" s="71">
        <f t="shared" ca="1" si="0"/>
        <v>0.62451312818049309</v>
      </c>
      <c r="J4" s="71">
        <f t="shared" ca="1" si="0"/>
        <v>0.62081851064835802</v>
      </c>
      <c r="K4" s="71">
        <f t="shared" ca="1" si="0"/>
        <v>0.57993408950957559</v>
      </c>
      <c r="L4" s="71">
        <f t="shared" ca="1" si="0"/>
        <v>0.56791472828316703</v>
      </c>
      <c r="M4" s="71">
        <f t="shared" ca="1" si="0"/>
        <v>0.59352637551959753</v>
      </c>
      <c r="N4" s="71">
        <f t="shared" ca="1" si="0"/>
        <v>0.55670652012949473</v>
      </c>
      <c r="O4" s="71">
        <f t="shared" ca="1" si="0"/>
        <v>0.59604746423959598</v>
      </c>
      <c r="P4" s="71">
        <f t="shared" ca="1" si="0"/>
        <v>0.63906547589126583</v>
      </c>
      <c r="Q4" s="71">
        <f t="shared" ca="1" si="0"/>
        <v>0.55785359956135638</v>
      </c>
      <c r="R4" s="71">
        <f t="shared" ca="1" si="0"/>
        <v>0.59857352935767694</v>
      </c>
      <c r="S4" s="71">
        <f t="shared" ca="1" si="0"/>
        <v>0.59413266934251396</v>
      </c>
      <c r="T4" s="71">
        <f t="shared" ca="1" si="0"/>
        <v>0.60200210499025275</v>
      </c>
      <c r="U4" s="71">
        <f t="shared" ca="1" si="0"/>
        <v>0.57064313799007205</v>
      </c>
      <c r="V4" s="71">
        <f t="shared" ca="1" si="0"/>
        <v>0.57495030679642756</v>
      </c>
      <c r="W4" s="101">
        <f ca="1">AVERAGE(C4:V4)</f>
        <v>0.59250805814245622</v>
      </c>
    </row>
    <row r="5" spans="1:24">
      <c r="B5" s="67" t="s">
        <v>86</v>
      </c>
      <c r="C5" s="72">
        <f ca="1">DATOS!$K$28*FLUJO_ANUAL!C4</f>
        <v>0.56775705027843226</v>
      </c>
      <c r="D5" s="72">
        <f ca="1">DATOS!$K$28*FLUJO_ANUAL!D4</f>
        <v>0.51394089277873156</v>
      </c>
      <c r="E5" s="72">
        <f ca="1">DATOS!$K$28*FLUJO_ANUAL!E4</f>
        <v>0.5637919393571158</v>
      </c>
      <c r="F5" s="72">
        <f ca="1">DATOS!$K$28*FLUJO_ANUAL!F4</f>
        <v>0.58759583195964238</v>
      </c>
      <c r="G5" s="72">
        <f ca="1">DATOS!$K$28*FLUJO_ANUAL!G4</f>
        <v>0.46164650780621935</v>
      </c>
      <c r="H5" s="72">
        <f ca="1">DATOS!$K$28*FLUJO_ANUAL!H4</f>
        <v>0.54025378603295782</v>
      </c>
      <c r="I5" s="72">
        <f ca="1">DATOS!$K$28*FLUJO_ANUAL!I4</f>
        <v>0.5653568794616145</v>
      </c>
      <c r="J5" s="72">
        <f ca="1">DATOS!$K$28*FLUJO_ANUAL!J4</f>
        <v>0.56201223009474266</v>
      </c>
      <c r="K5" s="72">
        <f ca="1">DATOS!$K$28*FLUJO_ANUAL!K4</f>
        <v>0.52500053616773179</v>
      </c>
      <c r="L5" s="72">
        <f ca="1">DATOS!$K$28*FLUJO_ANUAL!L4</f>
        <v>0.51411969435759719</v>
      </c>
      <c r="M5" s="72">
        <f ca="1">DATOS!$K$28*FLUJO_ANUAL!M4</f>
        <v>0.53730530936884036</v>
      </c>
      <c r="N5" s="72">
        <f ca="1">DATOS!$K$28*FLUJO_ANUAL!N4</f>
        <v>0.5039731701290705</v>
      </c>
      <c r="O5" s="72">
        <f ca="1">DATOS!$K$28*FLUJO_ANUAL!O4</f>
        <v>0.53958759101716502</v>
      </c>
      <c r="P5" s="72">
        <f ca="1">DATOS!$K$28*FLUJO_ANUAL!P4</f>
        <v>0.57853077368313843</v>
      </c>
      <c r="Q5" s="72">
        <f ca="1">DATOS!$K$28*FLUJO_ANUAL!Q4</f>
        <v>0.50501159385281402</v>
      </c>
      <c r="R5" s="72">
        <f ca="1">DATOS!$K$28*FLUJO_ANUAL!R4</f>
        <v>0.54187437768029878</v>
      </c>
      <c r="S5" s="72">
        <f ca="1">DATOS!$K$28*FLUJO_ANUAL!S4</f>
        <v>0.53785417274463443</v>
      </c>
      <c r="T5" s="72">
        <f ca="1">DATOS!$K$28*FLUJO_ANUAL!T4</f>
        <v>0.54497818564391776</v>
      </c>
      <c r="U5" s="72">
        <f ca="1">DATOS!$K$28*FLUJO_ANUAL!U4</f>
        <v>0.51658965876376228</v>
      </c>
      <c r="V5" s="72">
        <f ca="1">DATOS!$K$28*FLUJO_ANUAL!V4</f>
        <v>0.52048883622824582</v>
      </c>
      <c r="W5" s="101">
        <f ca="1">AVERAGE(C5:V5)</f>
        <v>0.53638345087033368</v>
      </c>
    </row>
    <row r="6" spans="1:24">
      <c r="B6" s="92" t="s">
        <v>115</v>
      </c>
      <c r="C6" s="93">
        <f ca="1">ROUNDUP(C4*C5*365,0)</f>
        <v>130</v>
      </c>
      <c r="D6" s="43">
        <f t="shared" ref="D6:V6" ca="1" si="1">ROUNDUP(D4*D5*365,0)</f>
        <v>107</v>
      </c>
      <c r="E6" s="43">
        <f t="shared" ca="1" si="1"/>
        <v>129</v>
      </c>
      <c r="F6" s="43">
        <f t="shared" ca="1" si="1"/>
        <v>140</v>
      </c>
      <c r="G6" s="43">
        <f t="shared" ca="1" si="1"/>
        <v>86</v>
      </c>
      <c r="H6" s="43">
        <f t="shared" ca="1" si="1"/>
        <v>118</v>
      </c>
      <c r="I6" s="43">
        <f t="shared" ca="1" si="1"/>
        <v>129</v>
      </c>
      <c r="J6" s="43">
        <f t="shared" ca="1" si="1"/>
        <v>128</v>
      </c>
      <c r="K6" s="43">
        <f t="shared" ca="1" si="1"/>
        <v>112</v>
      </c>
      <c r="L6" s="43">
        <f t="shared" ca="1" si="1"/>
        <v>107</v>
      </c>
      <c r="M6" s="43">
        <f t="shared" ca="1" si="1"/>
        <v>117</v>
      </c>
      <c r="N6" s="43">
        <f t="shared" ca="1" si="1"/>
        <v>103</v>
      </c>
      <c r="O6" s="43">
        <f t="shared" ca="1" si="1"/>
        <v>118</v>
      </c>
      <c r="P6" s="43">
        <f t="shared" ca="1" si="1"/>
        <v>135</v>
      </c>
      <c r="Q6" s="43">
        <f t="shared" ca="1" si="1"/>
        <v>103</v>
      </c>
      <c r="R6" s="43">
        <f t="shared" ca="1" si="1"/>
        <v>119</v>
      </c>
      <c r="S6" s="43">
        <f t="shared" ca="1" si="1"/>
        <v>117</v>
      </c>
      <c r="T6" s="43">
        <f t="shared" ca="1" si="1"/>
        <v>120</v>
      </c>
      <c r="U6" s="43">
        <f t="shared" ca="1" si="1"/>
        <v>108</v>
      </c>
      <c r="V6" s="43">
        <f t="shared" ca="1" si="1"/>
        <v>110</v>
      </c>
      <c r="W6" s="87">
        <f ca="1">SUM(C6:V6)</f>
        <v>2336</v>
      </c>
    </row>
    <row r="7" spans="1:24">
      <c r="B7" s="95" t="s">
        <v>117</v>
      </c>
      <c r="C7" s="48">
        <f ca="1">IF(DATOS!$G$4="Si",(DATOS!$F$4)/31,NORMINV(RAND(), 1000, 269))</f>
        <v>995.47436853789418</v>
      </c>
      <c r="D7" s="47">
        <f ca="1">C7*(1+DATOS!$B$24)</f>
        <v>1016.8961571849836</v>
      </c>
      <c r="E7" s="47">
        <f ca="1">D7*(1+DATOS!$B$24)</f>
        <v>1038.7789250831156</v>
      </c>
      <c r="F7" s="47">
        <f ca="1">E7*(1+DATOS!$B$24)</f>
        <v>1061.1325921261603</v>
      </c>
      <c r="G7" s="47">
        <f ca="1">F7*(1+DATOS!$B$24)</f>
        <v>1083.9672916759353</v>
      </c>
      <c r="H7" s="47">
        <f ca="1">G7*(1+DATOS!$B$24)</f>
        <v>1107.2933751558596</v>
      </c>
      <c r="I7" s="47">
        <f ca="1">H7*(1+DATOS!$B$24)</f>
        <v>1131.12141674346</v>
      </c>
      <c r="J7" s="47">
        <f ca="1">I7*(1+DATOS!$B$24)</f>
        <v>1155.4622181638558</v>
      </c>
      <c r="K7" s="47">
        <f ca="1">J7*(1+DATOS!$B$24)</f>
        <v>1180.3268135863959</v>
      </c>
      <c r="L7" s="47">
        <f ca="1">K7*(1+DATOS!$B$24)</f>
        <v>1205.7264746266669</v>
      </c>
      <c r="M7" s="47">
        <f ca="1">L7*(1+DATOS!$B$24)</f>
        <v>1231.6727154561408</v>
      </c>
      <c r="N7" s="47">
        <f ca="1">M7*(1+DATOS!$B$24)</f>
        <v>1258.1772980217781</v>
      </c>
      <c r="O7" s="47">
        <f ca="1">N7*(1+DATOS!$B$24)</f>
        <v>1285.2522373779518</v>
      </c>
      <c r="P7" s="47">
        <f ca="1">O7*(1+DATOS!$B$24)</f>
        <v>1312.9098071331105</v>
      </c>
      <c r="Q7" s="47">
        <f ca="1">P7*(1+DATOS!$B$24)</f>
        <v>1341.1625450136498</v>
      </c>
      <c r="R7" s="47">
        <f ca="1">Q7*(1+DATOS!$B$24)</f>
        <v>1370.0232585475126</v>
      </c>
      <c r="S7" s="47">
        <f ca="1">R7*(1+DATOS!$B$24)</f>
        <v>1399.5050308700959</v>
      </c>
      <c r="T7" s="47">
        <f ca="1">S7*(1+DATOS!$B$24)</f>
        <v>1429.621226655097</v>
      </c>
      <c r="U7" s="47">
        <f ca="1">T7*(1+DATOS!$B$24)</f>
        <v>1460.3854981729853</v>
      </c>
      <c r="V7" s="47">
        <f ca="1">U7*(1+DATOS!$B$24)</f>
        <v>1491.8117914798484</v>
      </c>
      <c r="W7" s="47">
        <f ca="1">AVERAGE(C7:V7)</f>
        <v>1227.8350520806248</v>
      </c>
    </row>
    <row r="8" spans="1:24">
      <c r="B8" s="94" t="s">
        <v>116</v>
      </c>
      <c r="C8" s="54">
        <f ca="1">C6*C7</f>
        <v>129411.66790992624</v>
      </c>
      <c r="D8" s="54">
        <f t="shared" ref="D8:V8" ca="1" si="2">D6*D7</f>
        <v>108807.88881879325</v>
      </c>
      <c r="E8" s="54">
        <f t="shared" ca="1" si="2"/>
        <v>134002.48133572191</v>
      </c>
      <c r="F8" s="54">
        <f t="shared" ca="1" si="2"/>
        <v>148558.56289766243</v>
      </c>
      <c r="G8" s="54">
        <f t="shared" ca="1" si="2"/>
        <v>93221.187084130434</v>
      </c>
      <c r="H8" s="54">
        <f t="shared" ca="1" si="2"/>
        <v>130660.61826839144</v>
      </c>
      <c r="I8" s="54">
        <f t="shared" ca="1" si="2"/>
        <v>145914.66275990635</v>
      </c>
      <c r="J8" s="54">
        <f t="shared" ca="1" si="2"/>
        <v>147899.16392497355</v>
      </c>
      <c r="K8" s="54">
        <f t="shared" ca="1" si="2"/>
        <v>132196.60312167634</v>
      </c>
      <c r="L8" s="54">
        <f t="shared" ca="1" si="2"/>
        <v>129012.73278505336</v>
      </c>
      <c r="M8" s="54">
        <f t="shared" ca="1" si="2"/>
        <v>144105.70770836849</v>
      </c>
      <c r="N8" s="54">
        <f t="shared" ca="1" si="2"/>
        <v>129592.26169624315</v>
      </c>
      <c r="O8" s="54">
        <f t="shared" ca="1" si="2"/>
        <v>151659.7640105983</v>
      </c>
      <c r="P8" s="54">
        <f t="shared" ca="1" si="2"/>
        <v>177242.82396296991</v>
      </c>
      <c r="Q8" s="54">
        <f t="shared" ca="1" si="2"/>
        <v>138139.74213640593</v>
      </c>
      <c r="R8" s="54">
        <f t="shared" ca="1" si="2"/>
        <v>163032.767767154</v>
      </c>
      <c r="S8" s="54">
        <f t="shared" ca="1" si="2"/>
        <v>163742.08861180121</v>
      </c>
      <c r="T8" s="54">
        <f t="shared" ca="1" si="2"/>
        <v>171554.54719861163</v>
      </c>
      <c r="U8" s="54">
        <f t="shared" ca="1" si="2"/>
        <v>157721.63380268242</v>
      </c>
      <c r="V8" s="54">
        <f t="shared" ca="1" si="2"/>
        <v>164099.29706278333</v>
      </c>
      <c r="W8" s="54">
        <f ca="1">SUM(C8:V8)</f>
        <v>2860576.2028638544</v>
      </c>
    </row>
    <row r="10" spans="1:24">
      <c r="B10" s="7" t="s">
        <v>94</v>
      </c>
      <c r="W10" s="7" t="s">
        <v>119</v>
      </c>
      <c r="X10" s="60" t="s">
        <v>126</v>
      </c>
    </row>
    <row r="11" spans="1:24">
      <c r="A11" s="60" t="s">
        <v>121</v>
      </c>
      <c r="B11" s="43" t="s">
        <v>122</v>
      </c>
      <c r="C11" s="48">
        <f>IF(DATOS!L21="No",DATOS!B7,DATOS!K15)</f>
        <v>191100</v>
      </c>
    </row>
    <row r="12" spans="1:24">
      <c r="A12" s="122" t="s">
        <v>25</v>
      </c>
      <c r="B12" s="43" t="s">
        <v>27</v>
      </c>
      <c r="C12" s="47">
        <f>IF($X$12=0,0,12*DATOS!$F$11)</f>
        <v>6000</v>
      </c>
      <c r="D12" s="47">
        <f>IF($X$12=0,0,12*DATOS!$F$11)</f>
        <v>6000</v>
      </c>
      <c r="E12" s="47">
        <f>IF($X$12=0,0,12*DATOS!$F$11)</f>
        <v>6000</v>
      </c>
      <c r="F12" s="47">
        <f>IF($X$12=0,0,12*DATOS!$F$11)</f>
        <v>6000</v>
      </c>
      <c r="G12" s="47">
        <f>IF($X$12=0,0,12*DATOS!$F$11)</f>
        <v>6000</v>
      </c>
      <c r="H12" s="47">
        <f>IF($X$12=0,0,12*DATOS!$F$11)</f>
        <v>6000</v>
      </c>
      <c r="I12" s="47">
        <f>IF($X$12=0,0,12*DATOS!$F$11)</f>
        <v>6000</v>
      </c>
      <c r="J12" s="47">
        <f>IF($X$12=0,0,12*DATOS!$F$11)</f>
        <v>6000</v>
      </c>
      <c r="K12" s="47">
        <f>IF($X$12=0,0,12*DATOS!$F$11)</f>
        <v>6000</v>
      </c>
      <c r="L12" s="47">
        <f>IF($X$12=0,0,12*DATOS!$F$11)</f>
        <v>6000</v>
      </c>
      <c r="M12" s="47">
        <f>IF($X$12=0,0,12*DATOS!$F$11)</f>
        <v>6000</v>
      </c>
      <c r="N12" s="47">
        <f>IF($X$12=0,0,12*DATOS!$F$11)</f>
        <v>6000</v>
      </c>
      <c r="O12" s="47">
        <f>IF($X$12=0,0,12*DATOS!$F$11)</f>
        <v>6000</v>
      </c>
      <c r="P12" s="47">
        <f>IF($X$12=0,0,12*DATOS!$F$11)</f>
        <v>6000</v>
      </c>
      <c r="Q12" s="47">
        <f>IF($X$12=0,0,12*DATOS!$F$11)</f>
        <v>6000</v>
      </c>
      <c r="R12" s="47">
        <f>IF($X$12=0,0,12*DATOS!$F$11)</f>
        <v>6000</v>
      </c>
      <c r="S12" s="47">
        <f>IF($X$12=0,0,12*DATOS!$F$11)</f>
        <v>6000</v>
      </c>
      <c r="T12" s="47">
        <f>IF($X$12=0,0,12*DATOS!$F$11)</f>
        <v>6000</v>
      </c>
      <c r="U12" s="47">
        <f>IF($X$12=0,0,12*DATOS!$F$11)</f>
        <v>6000</v>
      </c>
      <c r="V12" s="76">
        <f>IF($X$12=0,0,12*DATOS!$F$11)</f>
        <v>6000</v>
      </c>
      <c r="W12" s="47">
        <f>SUM(C12:V12)</f>
        <v>120000</v>
      </c>
      <c r="X12" s="102">
        <v>1</v>
      </c>
    </row>
    <row r="13" spans="1:24">
      <c r="A13" s="123"/>
      <c r="B13" s="96" t="s">
        <v>29</v>
      </c>
      <c r="C13" s="47">
        <f>IF($X$13=0,0,12*DATOS!$F$12)</f>
        <v>1800</v>
      </c>
      <c r="D13" s="47">
        <f>IF($X$13=0,0,12*DATOS!$F$12)</f>
        <v>1800</v>
      </c>
      <c r="E13" s="47">
        <f>IF($X$13=0,0,12*DATOS!$F$12)</f>
        <v>1800</v>
      </c>
      <c r="F13" s="47">
        <f>IF($X$13=0,0,12*DATOS!$F$12)</f>
        <v>1800</v>
      </c>
      <c r="G13" s="47">
        <f>IF($X$13=0,0,12*DATOS!$F$12)</f>
        <v>1800</v>
      </c>
      <c r="H13" s="47">
        <f>IF($X$13=0,0,12*DATOS!$F$12)</f>
        <v>1800</v>
      </c>
      <c r="I13" s="47">
        <f>IF($X$13=0,0,12*DATOS!$F$12)</f>
        <v>1800</v>
      </c>
      <c r="J13" s="47">
        <f>IF($X$13=0,0,12*DATOS!$F$12)</f>
        <v>1800</v>
      </c>
      <c r="K13" s="47">
        <f>IF($X$13=0,0,12*DATOS!$F$12)</f>
        <v>1800</v>
      </c>
      <c r="L13" s="47">
        <f>IF($X$13=0,0,12*DATOS!$F$12)</f>
        <v>1800</v>
      </c>
      <c r="M13" s="47">
        <f>IF($X$13=0,0,12*DATOS!$F$12)</f>
        <v>1800</v>
      </c>
      <c r="N13" s="47">
        <f>IF($X$13=0,0,12*DATOS!$F$12)</f>
        <v>1800</v>
      </c>
      <c r="O13" s="47">
        <f>IF($X$13=0,0,12*DATOS!$F$12)</f>
        <v>1800</v>
      </c>
      <c r="P13" s="47">
        <f>IF($X$13=0,0,12*DATOS!$F$12)</f>
        <v>1800</v>
      </c>
      <c r="Q13" s="47">
        <f>IF($X$13=0,0,12*DATOS!$F$12)</f>
        <v>1800</v>
      </c>
      <c r="R13" s="47">
        <f>IF($X$13=0,0,12*DATOS!$F$12)</f>
        <v>1800</v>
      </c>
      <c r="S13" s="47">
        <f>IF($X$13=0,0,12*DATOS!$F$12)</f>
        <v>1800</v>
      </c>
      <c r="T13" s="47">
        <f>IF($X$13=0,0,12*DATOS!$F$12)</f>
        <v>1800</v>
      </c>
      <c r="U13" s="47">
        <f>IF($X$13=0,0,12*DATOS!$F$12)</f>
        <v>1800</v>
      </c>
      <c r="V13" s="76">
        <f>IF($X$13=0,0,12*DATOS!$F$12)</f>
        <v>1800</v>
      </c>
      <c r="W13" s="47">
        <f t="shared" ref="W13:W24" si="3">SUM(C13:V13)</f>
        <v>36000</v>
      </c>
      <c r="X13" s="102">
        <v>1</v>
      </c>
    </row>
    <row r="14" spans="1:24">
      <c r="A14" s="123"/>
      <c r="B14" s="43" t="s">
        <v>36</v>
      </c>
      <c r="C14" s="47">
        <f>IF($X$14=0,0,12*DATOS!$F$13)</f>
        <v>6000</v>
      </c>
      <c r="D14" s="47">
        <f>IF($X$14=0,0,12*DATOS!$F$13)</f>
        <v>6000</v>
      </c>
      <c r="E14" s="47">
        <f>IF($X$14=0,0,12*DATOS!$F$13)</f>
        <v>6000</v>
      </c>
      <c r="F14" s="47">
        <f>IF($X$14=0,0,12*DATOS!$F$13)</f>
        <v>6000</v>
      </c>
      <c r="G14" s="47">
        <f>IF($X$14=0,0,12*DATOS!$F$13)</f>
        <v>6000</v>
      </c>
      <c r="H14" s="47">
        <f>IF($X$14=0,0,12*DATOS!$F$13)</f>
        <v>6000</v>
      </c>
      <c r="I14" s="47">
        <f>IF($X$14=0,0,12*DATOS!$F$13)</f>
        <v>6000</v>
      </c>
      <c r="J14" s="47">
        <f>IF($X$14=0,0,12*DATOS!$F$13)</f>
        <v>6000</v>
      </c>
      <c r="K14" s="47">
        <f>IF($X$14=0,0,12*DATOS!$F$13)</f>
        <v>6000</v>
      </c>
      <c r="L14" s="47">
        <f>IF($X$14=0,0,12*DATOS!$F$13)</f>
        <v>6000</v>
      </c>
      <c r="M14" s="47">
        <f>IF($X$14=0,0,12*DATOS!$F$13)</f>
        <v>6000</v>
      </c>
      <c r="N14" s="47">
        <f>IF($X$14=0,0,12*DATOS!$F$13)</f>
        <v>6000</v>
      </c>
      <c r="O14" s="47">
        <f>IF($X$14=0,0,12*DATOS!$F$13)</f>
        <v>6000</v>
      </c>
      <c r="P14" s="47">
        <f>IF($X$14=0,0,12*DATOS!$F$13)</f>
        <v>6000</v>
      </c>
      <c r="Q14" s="47">
        <f>IF($X$14=0,0,12*DATOS!$F$13)</f>
        <v>6000</v>
      </c>
      <c r="R14" s="47">
        <f>IF($X$14=0,0,12*DATOS!$F$13)</f>
        <v>6000</v>
      </c>
      <c r="S14" s="47">
        <f>IF($X$14=0,0,12*DATOS!$F$13)</f>
        <v>6000</v>
      </c>
      <c r="T14" s="47">
        <f>IF($X$14=0,0,12*DATOS!$F$13)</f>
        <v>6000</v>
      </c>
      <c r="U14" s="47">
        <f>IF($X$14=0,0,12*DATOS!$F$13)</f>
        <v>6000</v>
      </c>
      <c r="V14" s="76">
        <f>IF($X$14=0,0,12*DATOS!$F$13)</f>
        <v>6000</v>
      </c>
      <c r="W14" s="47">
        <f t="shared" si="3"/>
        <v>120000</v>
      </c>
      <c r="X14" s="102">
        <v>1</v>
      </c>
    </row>
    <row r="15" spans="1:24">
      <c r="A15" s="123"/>
      <c r="B15" s="43" t="s">
        <v>30</v>
      </c>
      <c r="C15" s="47">
        <f>IF($X$15=0,0,12*DATOS!$F$14)</f>
        <v>3600</v>
      </c>
      <c r="D15" s="47">
        <f>IF($X$15=0,0,12*DATOS!$F$14)</f>
        <v>3600</v>
      </c>
      <c r="E15" s="47">
        <f>IF($X$15=0,0,12*DATOS!$F$14)</f>
        <v>3600</v>
      </c>
      <c r="F15" s="47">
        <f>IF($X$15=0,0,12*DATOS!$F$14)</f>
        <v>3600</v>
      </c>
      <c r="G15" s="47">
        <f>IF($X$15=0,0,12*DATOS!$F$14)</f>
        <v>3600</v>
      </c>
      <c r="H15" s="47">
        <f>IF($X$15=0,0,12*DATOS!$F$14)</f>
        <v>3600</v>
      </c>
      <c r="I15" s="47">
        <f>IF($X$15=0,0,12*DATOS!$F$14)</f>
        <v>3600</v>
      </c>
      <c r="J15" s="47">
        <f>IF($X$15=0,0,12*DATOS!$F$14)</f>
        <v>3600</v>
      </c>
      <c r="K15" s="47">
        <f>IF($X$15=0,0,12*DATOS!$F$14)</f>
        <v>3600</v>
      </c>
      <c r="L15" s="47">
        <f>IF($X$15=0,0,12*DATOS!$F$14)</f>
        <v>3600</v>
      </c>
      <c r="M15" s="47">
        <f>IF($X$15=0,0,12*DATOS!$F$14)</f>
        <v>3600</v>
      </c>
      <c r="N15" s="47">
        <f>IF($X$15=0,0,12*DATOS!$F$14)</f>
        <v>3600</v>
      </c>
      <c r="O15" s="47">
        <f>IF($X$15=0,0,12*DATOS!$F$14)</f>
        <v>3600</v>
      </c>
      <c r="P15" s="47">
        <f>IF($X$15=0,0,12*DATOS!$F$14)</f>
        <v>3600</v>
      </c>
      <c r="Q15" s="47">
        <f>IF($X$15=0,0,12*DATOS!$F$14)</f>
        <v>3600</v>
      </c>
      <c r="R15" s="47">
        <f>IF($X$15=0,0,12*DATOS!$F$14)</f>
        <v>3600</v>
      </c>
      <c r="S15" s="47">
        <f>IF($X$15=0,0,12*DATOS!$F$14)</f>
        <v>3600</v>
      </c>
      <c r="T15" s="47">
        <f>IF($X$15=0,0,12*DATOS!$F$14)</f>
        <v>3600</v>
      </c>
      <c r="U15" s="47">
        <f>IF($X$15=0,0,12*DATOS!$F$14)</f>
        <v>3600</v>
      </c>
      <c r="V15" s="76">
        <f>IF($X$15=0,0,12*DATOS!$F$14)</f>
        <v>3600</v>
      </c>
      <c r="W15" s="47">
        <f t="shared" si="3"/>
        <v>72000</v>
      </c>
      <c r="X15" s="102">
        <v>1</v>
      </c>
    </row>
    <row r="16" spans="1:24">
      <c r="A16" s="123"/>
      <c r="B16" s="43" t="s">
        <v>31</v>
      </c>
      <c r="C16" s="47">
        <f>IF($X$16=0,0,12*DATOS!$F$15)</f>
        <v>2400</v>
      </c>
      <c r="D16" s="47">
        <f>IF($X$16=0,0,12*DATOS!$F$15)</f>
        <v>2400</v>
      </c>
      <c r="E16" s="47">
        <f>IF($X$16=0,0,12*DATOS!$F$15)</f>
        <v>2400</v>
      </c>
      <c r="F16" s="47">
        <f>IF($X$16=0,0,12*DATOS!$F$15)</f>
        <v>2400</v>
      </c>
      <c r="G16" s="47">
        <f>IF($X$16=0,0,12*DATOS!$F$15)</f>
        <v>2400</v>
      </c>
      <c r="H16" s="47">
        <f>IF($X$16=0,0,12*DATOS!$F$15)</f>
        <v>2400</v>
      </c>
      <c r="I16" s="47">
        <f>IF($X$16=0,0,12*DATOS!$F$15)</f>
        <v>2400</v>
      </c>
      <c r="J16" s="47">
        <f>IF($X$16=0,0,12*DATOS!$F$15)</f>
        <v>2400</v>
      </c>
      <c r="K16" s="47">
        <f>IF($X$16=0,0,12*DATOS!$F$15)</f>
        <v>2400</v>
      </c>
      <c r="L16" s="47">
        <f>IF($X$16=0,0,12*DATOS!$F$15)</f>
        <v>2400</v>
      </c>
      <c r="M16" s="47">
        <f>IF($X$16=0,0,12*DATOS!$F$15)</f>
        <v>2400</v>
      </c>
      <c r="N16" s="47">
        <f>IF($X$16=0,0,12*DATOS!$F$15)</f>
        <v>2400</v>
      </c>
      <c r="O16" s="47">
        <f>IF($X$16=0,0,12*DATOS!$F$15)</f>
        <v>2400</v>
      </c>
      <c r="P16" s="47">
        <f>IF($X$16=0,0,12*DATOS!$F$15)</f>
        <v>2400</v>
      </c>
      <c r="Q16" s="47">
        <f>IF($X$16=0,0,12*DATOS!$F$15)</f>
        <v>2400</v>
      </c>
      <c r="R16" s="47">
        <f>IF($X$16=0,0,12*DATOS!$F$15)</f>
        <v>2400</v>
      </c>
      <c r="S16" s="47">
        <f>IF($X$16=0,0,12*DATOS!$F$15)</f>
        <v>2400</v>
      </c>
      <c r="T16" s="47">
        <f>IF($X$16=0,0,12*DATOS!$F$15)</f>
        <v>2400</v>
      </c>
      <c r="U16" s="47">
        <f>IF($X$16=0,0,12*DATOS!$F$15)</f>
        <v>2400</v>
      </c>
      <c r="V16" s="76">
        <f>IF($X$16=0,0,12*DATOS!$F$15)</f>
        <v>2400</v>
      </c>
      <c r="W16" s="47">
        <f t="shared" si="3"/>
        <v>48000</v>
      </c>
      <c r="X16" s="102">
        <v>1</v>
      </c>
    </row>
    <row r="17" spans="1:24">
      <c r="A17" s="123"/>
      <c r="B17" s="43" t="s">
        <v>32</v>
      </c>
      <c r="C17" s="47">
        <f>IF($X$17=0,0,12*DATOS!$F$16)</f>
        <v>3000</v>
      </c>
      <c r="D17" s="47">
        <f>IF($X$17=0,0,12*DATOS!$F$16)</f>
        <v>3000</v>
      </c>
      <c r="E17" s="47">
        <f>IF($X$17=0,0,12*DATOS!$F$16)</f>
        <v>3000</v>
      </c>
      <c r="F17" s="47">
        <f>IF($X$17=0,0,12*DATOS!$F$16)</f>
        <v>3000</v>
      </c>
      <c r="G17" s="47">
        <f>IF($X$17=0,0,12*DATOS!$F$16)</f>
        <v>3000</v>
      </c>
      <c r="H17" s="47">
        <f>IF($X$17=0,0,12*DATOS!$F$16)</f>
        <v>3000</v>
      </c>
      <c r="I17" s="47">
        <f>IF($X$17=0,0,12*DATOS!$F$16)</f>
        <v>3000</v>
      </c>
      <c r="J17" s="47">
        <f>IF($X$17=0,0,12*DATOS!$F$16)</f>
        <v>3000</v>
      </c>
      <c r="K17" s="47">
        <f>IF($X$17=0,0,12*DATOS!$F$16)</f>
        <v>3000</v>
      </c>
      <c r="L17" s="47">
        <f>IF($X$17=0,0,12*DATOS!$F$16)</f>
        <v>3000</v>
      </c>
      <c r="M17" s="47">
        <f>IF($X$17=0,0,12*DATOS!$F$16)</f>
        <v>3000</v>
      </c>
      <c r="N17" s="47">
        <f>IF($X$17=0,0,12*DATOS!$F$16)</f>
        <v>3000</v>
      </c>
      <c r="O17" s="47">
        <f>IF($X$17=0,0,12*DATOS!$F$16)</f>
        <v>3000</v>
      </c>
      <c r="P17" s="47">
        <f>IF($X$17=0,0,12*DATOS!$F$16)</f>
        <v>3000</v>
      </c>
      <c r="Q17" s="47">
        <f>IF($X$17=0,0,12*DATOS!$F$16)</f>
        <v>3000</v>
      </c>
      <c r="R17" s="47">
        <f>IF($X$17=0,0,12*DATOS!$F$16)</f>
        <v>3000</v>
      </c>
      <c r="S17" s="47">
        <f>IF($X$17=0,0,12*DATOS!$F$16)</f>
        <v>3000</v>
      </c>
      <c r="T17" s="47">
        <f>IF($X$17=0,0,12*DATOS!$F$16)</f>
        <v>3000</v>
      </c>
      <c r="U17" s="47">
        <f>IF($X$17=0,0,12*DATOS!$F$16)</f>
        <v>3000</v>
      </c>
      <c r="V17" s="76">
        <f>IF($X$17=0,0,12*DATOS!$F$16)</f>
        <v>3000</v>
      </c>
      <c r="W17" s="47">
        <f t="shared" si="3"/>
        <v>60000</v>
      </c>
      <c r="X17" s="102">
        <v>1</v>
      </c>
    </row>
    <row r="18" spans="1:24">
      <c r="A18" s="123"/>
      <c r="B18" s="43" t="s">
        <v>33</v>
      </c>
      <c r="C18" s="47">
        <f>IF($X$18=0,0,12*DATOS!$F$17)</f>
        <v>3000</v>
      </c>
      <c r="D18" s="47">
        <f>IF($X$18=0,0,12*DATOS!$F$17)</f>
        <v>3000</v>
      </c>
      <c r="E18" s="47">
        <f>IF($X$18=0,0,12*DATOS!$F$17)</f>
        <v>3000</v>
      </c>
      <c r="F18" s="47">
        <f>IF($X$18=0,0,12*DATOS!$F$17)</f>
        <v>3000</v>
      </c>
      <c r="G18" s="47">
        <f>IF($X$18=0,0,12*DATOS!$F$17)</f>
        <v>3000</v>
      </c>
      <c r="H18" s="47">
        <f>IF($X$18=0,0,12*DATOS!$F$17)</f>
        <v>3000</v>
      </c>
      <c r="I18" s="47">
        <f>IF($X$18=0,0,12*DATOS!$F$17)</f>
        <v>3000</v>
      </c>
      <c r="J18" s="47">
        <f>IF($X$18=0,0,12*DATOS!$F$17)</f>
        <v>3000</v>
      </c>
      <c r="K18" s="47">
        <f>IF($X$18=0,0,12*DATOS!$F$17)</f>
        <v>3000</v>
      </c>
      <c r="L18" s="47">
        <f>IF($X$18=0,0,12*DATOS!$F$17)</f>
        <v>3000</v>
      </c>
      <c r="M18" s="47">
        <f>IF($X$18=0,0,12*DATOS!$F$17)</f>
        <v>3000</v>
      </c>
      <c r="N18" s="47">
        <f>IF($X$18=0,0,12*DATOS!$F$17)</f>
        <v>3000</v>
      </c>
      <c r="O18" s="47">
        <f>IF($X$18=0,0,12*DATOS!$F$17)</f>
        <v>3000</v>
      </c>
      <c r="P18" s="47">
        <f>IF($X$18=0,0,12*DATOS!$F$17)</f>
        <v>3000</v>
      </c>
      <c r="Q18" s="47">
        <f>IF($X$18=0,0,12*DATOS!$F$17)</f>
        <v>3000</v>
      </c>
      <c r="R18" s="47">
        <f>IF($X$18=0,0,12*DATOS!$F$17)</f>
        <v>3000</v>
      </c>
      <c r="S18" s="47">
        <f>IF($X$18=0,0,12*DATOS!$F$17)</f>
        <v>3000</v>
      </c>
      <c r="T18" s="47">
        <f>IF($X$18=0,0,12*DATOS!$F$17)</f>
        <v>3000</v>
      </c>
      <c r="U18" s="47">
        <f>IF($X$18=0,0,12*DATOS!$F$17)</f>
        <v>3000</v>
      </c>
      <c r="V18" s="76">
        <f>IF($X$18=0,0,12*DATOS!$F$17)</f>
        <v>3000</v>
      </c>
      <c r="W18" s="47">
        <f t="shared" si="3"/>
        <v>60000</v>
      </c>
      <c r="X18" s="102">
        <v>1</v>
      </c>
    </row>
    <row r="19" spans="1:24">
      <c r="A19" s="119"/>
      <c r="B19" s="43" t="s">
        <v>34</v>
      </c>
      <c r="C19" s="47">
        <f>IF($X$19=0,0,12*DATOS!$F$18)</f>
        <v>2400</v>
      </c>
      <c r="D19" s="47">
        <f>IF($X$19=0,0,12*DATOS!$F$18)</f>
        <v>2400</v>
      </c>
      <c r="E19" s="47">
        <f>IF($X$19=0,0,12*DATOS!$F$18)</f>
        <v>2400</v>
      </c>
      <c r="F19" s="47">
        <f>IF($X$19=0,0,12*DATOS!$F$18)</f>
        <v>2400</v>
      </c>
      <c r="G19" s="47">
        <f>IF($X$19=0,0,12*DATOS!$F$18)</f>
        <v>2400</v>
      </c>
      <c r="H19" s="47">
        <f>IF($X$19=0,0,12*DATOS!$F$18)</f>
        <v>2400</v>
      </c>
      <c r="I19" s="47">
        <f>IF($X$19=0,0,12*DATOS!$F$18)</f>
        <v>2400</v>
      </c>
      <c r="J19" s="47">
        <f>IF($X$19=0,0,12*DATOS!$F$18)</f>
        <v>2400</v>
      </c>
      <c r="K19" s="47">
        <f>IF($X$19=0,0,12*DATOS!$F$18)</f>
        <v>2400</v>
      </c>
      <c r="L19" s="47">
        <f>IF($X$19=0,0,12*DATOS!$F$18)</f>
        <v>2400</v>
      </c>
      <c r="M19" s="47">
        <f>IF($X$19=0,0,12*DATOS!$F$18)</f>
        <v>2400</v>
      </c>
      <c r="N19" s="47">
        <f>IF($X$19=0,0,12*DATOS!$F$18)</f>
        <v>2400</v>
      </c>
      <c r="O19" s="47">
        <f>IF($X$19=0,0,12*DATOS!$F$18)</f>
        <v>2400</v>
      </c>
      <c r="P19" s="47">
        <f>IF($X$19=0,0,12*DATOS!$F$18)</f>
        <v>2400</v>
      </c>
      <c r="Q19" s="47">
        <f>IF($X$19=0,0,12*DATOS!$F$18)</f>
        <v>2400</v>
      </c>
      <c r="R19" s="47">
        <f>IF($X$19=0,0,12*DATOS!$F$18)</f>
        <v>2400</v>
      </c>
      <c r="S19" s="47">
        <f>IF($X$19=0,0,12*DATOS!$F$18)</f>
        <v>2400</v>
      </c>
      <c r="T19" s="47">
        <f>IF($X$19=0,0,12*DATOS!$F$18)</f>
        <v>2400</v>
      </c>
      <c r="U19" s="47">
        <f>IF($X$19=0,0,12*DATOS!$F$18)</f>
        <v>2400</v>
      </c>
      <c r="V19" s="76">
        <f>IF($X$19=0,0,12*DATOS!$F$18)</f>
        <v>2400</v>
      </c>
      <c r="W19" s="47">
        <f t="shared" si="3"/>
        <v>48000</v>
      </c>
      <c r="X19" s="102">
        <v>1</v>
      </c>
    </row>
    <row r="20" spans="1:24">
      <c r="A20" s="120" t="s">
        <v>37</v>
      </c>
      <c r="B20" s="43" t="str">
        <f>IF(DATOS!I4="Si",DATOS!J4,DATOS!J5)</f>
        <v>Comision Airbnb [5.5%]</v>
      </c>
      <c r="C20" s="75">
        <f ca="1">IF(DATOS!$G$4="Si",0,C8*DATOS!$L$4)</f>
        <v>7117.6417350459433</v>
      </c>
      <c r="D20" s="75">
        <f ca="1">IF(DATOS!$G$4="Si",0,D8*DATOS!$L$4)</f>
        <v>5984.4338850336289</v>
      </c>
      <c r="E20" s="75">
        <f ca="1">IF(DATOS!$G$4="Si",0,E8*DATOS!$L$4)</f>
        <v>7370.136473464705</v>
      </c>
      <c r="F20" s="75">
        <f ca="1">IF(DATOS!$G$4="Si",0,F8*DATOS!$L$4)</f>
        <v>8170.7209593714333</v>
      </c>
      <c r="G20" s="75">
        <f ca="1">IF(DATOS!$G$4="Si",0,G8*DATOS!$L$4)</f>
        <v>5127.1652896271735</v>
      </c>
      <c r="H20" s="75">
        <f ca="1">IF(DATOS!$G$4="Si",0,H8*DATOS!$L$4)</f>
        <v>7186.3340047615293</v>
      </c>
      <c r="I20" s="75">
        <f ca="1">IF(DATOS!$G$4="Si",0,I8*DATOS!$L$4)</f>
        <v>8025.3064517948496</v>
      </c>
      <c r="J20" s="75">
        <f ca="1">IF(DATOS!$G$4="Si",0,J8*DATOS!$L$4)</f>
        <v>8134.4540158735454</v>
      </c>
      <c r="K20" s="75">
        <f ca="1">IF(DATOS!$G$4="Si",0,K8*DATOS!$L$4)</f>
        <v>7270.8131716921989</v>
      </c>
      <c r="L20" s="75">
        <f ca="1">IF(DATOS!$G$4="Si",0,L8*DATOS!$L$4)</f>
        <v>7095.700303177935</v>
      </c>
      <c r="M20" s="75">
        <f ca="1">IF(DATOS!$G$4="Si",0,M8*DATOS!$L$4)</f>
        <v>7925.8139239602669</v>
      </c>
      <c r="N20" s="75">
        <f ca="1">IF(DATOS!$G$4="Si",0,N8*DATOS!$L$4)</f>
        <v>7127.5743932933729</v>
      </c>
      <c r="O20" s="75">
        <f ca="1">IF(DATOS!$G$4="Si",0,O8*DATOS!$L$4)</f>
        <v>8341.2870205829058</v>
      </c>
      <c r="P20" s="75">
        <f ca="1">IF(DATOS!$G$4="Si",0,P8*DATOS!$L$4)</f>
        <v>9748.3553179633454</v>
      </c>
      <c r="Q20" s="75">
        <f ca="1">IF(DATOS!$G$4="Si",0,Q8*DATOS!$L$4)</f>
        <v>7597.6858175023262</v>
      </c>
      <c r="R20" s="75">
        <f ca="1">IF(DATOS!$G$4="Si",0,R8*DATOS!$L$4)</f>
        <v>8966.8022271934697</v>
      </c>
      <c r="S20" s="75">
        <f ca="1">IF(DATOS!$G$4="Si",0,S8*DATOS!$L$4)</f>
        <v>9005.8148736490675</v>
      </c>
      <c r="T20" s="75">
        <f ca="1">IF(DATOS!$G$4="Si",0,T8*DATOS!$L$4)</f>
        <v>9435.5000959236404</v>
      </c>
      <c r="U20" s="75">
        <f ca="1">IF(DATOS!$G$4="Si",0,U8*DATOS!$L$4)</f>
        <v>8674.6898591475328</v>
      </c>
      <c r="V20" s="77">
        <f ca="1">IF(DATOS!$G$4="Si",0,V8*DATOS!$L$4)</f>
        <v>9025.461338453084</v>
      </c>
      <c r="W20" s="47">
        <f t="shared" ca="1" si="3"/>
        <v>157331.69115751196</v>
      </c>
    </row>
    <row r="21" spans="1:24">
      <c r="A21" s="120"/>
      <c r="B21" s="43" t="s">
        <v>41</v>
      </c>
      <c r="C21" s="4">
        <f ca="1">IF(DATOS!$G$4="Si",0,C8*DATOS!$L$6)</f>
        <v>5176.4667163970498</v>
      </c>
      <c r="D21" s="4">
        <f ca="1">IF(DATOS!$G$4="Si",0,D8*DATOS!$L$6)</f>
        <v>4352.3155527517301</v>
      </c>
      <c r="E21" s="4">
        <f ca="1">IF(DATOS!$G$4="Si",0,E8*DATOS!$L$6)</f>
        <v>5360.0992534288762</v>
      </c>
      <c r="F21" s="4">
        <f ca="1">IF(DATOS!$G$4="Si",0,F8*DATOS!$L$6)</f>
        <v>5942.3425159064973</v>
      </c>
      <c r="G21" s="4">
        <f ca="1">IF(DATOS!$G$4="Si",0,G8*DATOS!$L$6)</f>
        <v>3728.8474833652176</v>
      </c>
      <c r="H21" s="4">
        <f ca="1">IF(DATOS!$G$4="Si",0,H8*DATOS!$L$6)</f>
        <v>5226.4247307356572</v>
      </c>
      <c r="I21" s="4">
        <f ca="1">IF(DATOS!$G$4="Si",0,I8*DATOS!$L$6)</f>
        <v>5836.5865103962542</v>
      </c>
      <c r="J21" s="4">
        <f ca="1">IF(DATOS!$G$4="Si",0,J8*DATOS!$L$6)</f>
        <v>5915.966556998942</v>
      </c>
      <c r="K21" s="4">
        <f ca="1">IF(DATOS!$G$4="Si",0,K8*DATOS!$L$6)</f>
        <v>5287.8641248670538</v>
      </c>
      <c r="L21" s="4">
        <f ca="1">IF(DATOS!$G$4="Si",0,L8*DATOS!$L$6)</f>
        <v>5160.5093114021347</v>
      </c>
      <c r="M21" s="4">
        <f ca="1">IF(DATOS!$G$4="Si",0,M8*DATOS!$L$6)</f>
        <v>5764.2283083347393</v>
      </c>
      <c r="N21" s="4">
        <f ca="1">IF(DATOS!$G$4="Si",0,N8*DATOS!$L$6)</f>
        <v>5183.6904678497258</v>
      </c>
      <c r="O21" s="4">
        <f ca="1">IF(DATOS!$G$4="Si",0,O8*DATOS!$L$6)</f>
        <v>6066.3905604239326</v>
      </c>
      <c r="P21" s="4">
        <f ca="1">IF(DATOS!$G$4="Si",0,P8*DATOS!$L$6)</f>
        <v>7089.7129585187968</v>
      </c>
      <c r="Q21" s="4">
        <f ca="1">IF(DATOS!$G$4="Si",0,Q8*DATOS!$L$6)</f>
        <v>5525.589685456237</v>
      </c>
      <c r="R21" s="4">
        <f ca="1">IF(DATOS!$G$4="Si",0,R8*DATOS!$L$6)</f>
        <v>6521.3107106861598</v>
      </c>
      <c r="S21" s="4">
        <f ca="1">IF(DATOS!$G$4="Si",0,S8*DATOS!$L$6)</f>
        <v>6549.6835444720491</v>
      </c>
      <c r="T21" s="4">
        <f ca="1">IF(DATOS!$G$4="Si",0,T8*DATOS!$L$6)</f>
        <v>6862.1818879444654</v>
      </c>
      <c r="U21" s="4">
        <f ca="1">IF(DATOS!$G$4="Si",0,U8*DATOS!$L$6)</f>
        <v>6308.8653521072974</v>
      </c>
      <c r="V21" s="78">
        <f ca="1">IF(DATOS!$G$4="Si",0,V8*DATOS!$L$6)</f>
        <v>6563.9718825113332</v>
      </c>
      <c r="W21" s="47">
        <f t="shared" ca="1" si="3"/>
        <v>114423.04811455414</v>
      </c>
    </row>
    <row r="22" spans="1:24">
      <c r="A22" s="121"/>
      <c r="B22" s="43" t="s">
        <v>42</v>
      </c>
      <c r="C22" s="46">
        <f ca="1">IF(DATOS!$G$4="Si",0,C8*DATOS!$L$7)</f>
        <v>10352.9334327941</v>
      </c>
      <c r="D22" s="46">
        <f ca="1">IF(DATOS!$G$4="Si",0,D8*DATOS!$L$7)</f>
        <v>8704.6311055034603</v>
      </c>
      <c r="E22" s="46">
        <f ca="1">IF(DATOS!$G$4="Si",0,E8*DATOS!$L$7)</f>
        <v>10720.198506857752</v>
      </c>
      <c r="F22" s="46">
        <f ca="1">IF(DATOS!$G$4="Si",0,F8*DATOS!$L$7)</f>
        <v>11884.685031812995</v>
      </c>
      <c r="G22" s="46">
        <f ca="1">IF(DATOS!$G$4="Si",0,G8*DATOS!$L$7)</f>
        <v>7457.6949667304352</v>
      </c>
      <c r="H22" s="46">
        <f ca="1">IF(DATOS!$G$4="Si",0,H8*DATOS!$L$7)</f>
        <v>10452.849461471314</v>
      </c>
      <c r="I22" s="46">
        <f ca="1">IF(DATOS!$G$4="Si",0,I8*DATOS!$L$7)</f>
        <v>11673.173020792508</v>
      </c>
      <c r="J22" s="46">
        <f ca="1">IF(DATOS!$G$4="Si",0,J8*DATOS!$L$7)</f>
        <v>11831.933113997884</v>
      </c>
      <c r="K22" s="46">
        <f ca="1">IF(DATOS!$G$4="Si",0,K8*DATOS!$L$7)</f>
        <v>10575.728249734108</v>
      </c>
      <c r="L22" s="46">
        <f ca="1">IF(DATOS!$G$4="Si",0,L8*DATOS!$L$7)</f>
        <v>10321.018622804269</v>
      </c>
      <c r="M22" s="46">
        <f ca="1">IF(DATOS!$G$4="Si",0,M8*DATOS!$L$7)</f>
        <v>11528.456616669479</v>
      </c>
      <c r="N22" s="46">
        <f ca="1">IF(DATOS!$G$4="Si",0,N8*DATOS!$L$7)</f>
        <v>10367.380935699452</v>
      </c>
      <c r="O22" s="46">
        <f ca="1">IF(DATOS!$G$4="Si",0,O8*DATOS!$L$7)</f>
        <v>12132.781120847865</v>
      </c>
      <c r="P22" s="46">
        <f ca="1">IF(DATOS!$G$4="Si",0,P8*DATOS!$L$7)</f>
        <v>14179.425917037594</v>
      </c>
      <c r="Q22" s="46">
        <f ca="1">IF(DATOS!$G$4="Si",0,Q8*DATOS!$L$7)</f>
        <v>11051.179370912474</v>
      </c>
      <c r="R22" s="46">
        <f ca="1">IF(DATOS!$G$4="Si",0,R8*DATOS!$L$7)</f>
        <v>13042.62142137232</v>
      </c>
      <c r="S22" s="46">
        <f ca="1">IF(DATOS!$G$4="Si",0,S8*DATOS!$L$7)</f>
        <v>13099.367088944098</v>
      </c>
      <c r="T22" s="46">
        <f ca="1">IF(DATOS!$G$4="Si",0,T8*DATOS!$L$7)</f>
        <v>13724.363775888931</v>
      </c>
      <c r="U22" s="46">
        <f ca="1">IF(DATOS!$G$4="Si",0,U8*DATOS!$L$7)</f>
        <v>12617.730704214595</v>
      </c>
      <c r="V22" s="79">
        <f ca="1">IF(DATOS!$G$4="Si",0,V8*DATOS!$L$7)</f>
        <v>13127.943765022666</v>
      </c>
      <c r="W22" s="47">
        <f t="shared" ca="1" si="3"/>
        <v>228846.09622910828</v>
      </c>
    </row>
    <row r="23" spans="1:24">
      <c r="A23" s="44" t="s">
        <v>43</v>
      </c>
      <c r="B23" s="50" t="s">
        <v>44</v>
      </c>
      <c r="C23" s="47">
        <f ca="1">IF(DATOS!$G$4="Si",0,C8*DATOS!$L$11)</f>
        <v>25882.333581985251</v>
      </c>
      <c r="D23" s="47">
        <f ca="1">IF(DATOS!$G$4="Si",0,D8*DATOS!$L$11)</f>
        <v>21761.577763758651</v>
      </c>
      <c r="E23" s="47">
        <f ca="1">IF(DATOS!$G$4="Si",0,E8*DATOS!$L$11)</f>
        <v>26800.496267144383</v>
      </c>
      <c r="F23" s="47">
        <f ca="1">IF(DATOS!$G$4="Si",0,F8*DATOS!$L$11)</f>
        <v>29711.712579532486</v>
      </c>
      <c r="G23" s="47">
        <f ca="1">IF(DATOS!$G$4="Si",0,G8*DATOS!$L$11)</f>
        <v>18644.237416826087</v>
      </c>
      <c r="H23" s="47">
        <f ca="1">IF(DATOS!$G$4="Si",0,H8*DATOS!$L$11)</f>
        <v>26132.123653678289</v>
      </c>
      <c r="I23" s="47">
        <f ca="1">IF(DATOS!$G$4="Si",0,I8*DATOS!$L$11)</f>
        <v>29182.93255198127</v>
      </c>
      <c r="J23" s="47">
        <f ca="1">IF(DATOS!$G$4="Si",0,J8*DATOS!$L$11)</f>
        <v>29579.832784994709</v>
      </c>
      <c r="K23" s="47">
        <f ca="1">IF(DATOS!$G$4="Si",0,K8*DATOS!$L$11)</f>
        <v>26439.320624335269</v>
      </c>
      <c r="L23" s="47">
        <f ca="1">IF(DATOS!$G$4="Si",0,L8*DATOS!$L$11)</f>
        <v>25802.546557010675</v>
      </c>
      <c r="M23" s="47">
        <f ca="1">IF(DATOS!$G$4="Si",0,M8*DATOS!$L$11)</f>
        <v>28821.1415416737</v>
      </c>
      <c r="N23" s="47">
        <f ca="1">IF(DATOS!$G$4="Si",0,N8*DATOS!$L$11)</f>
        <v>25918.45233924863</v>
      </c>
      <c r="O23" s="47">
        <f ca="1">IF(DATOS!$G$4="Si",0,O8*DATOS!$L$11)</f>
        <v>30331.95280211966</v>
      </c>
      <c r="P23" s="47">
        <f ca="1">IF(DATOS!$G$4="Si",0,P8*DATOS!$L$11)</f>
        <v>35448.564792593985</v>
      </c>
      <c r="Q23" s="47">
        <f ca="1">IF(DATOS!$G$4="Si",0,Q8*DATOS!$L$11)</f>
        <v>27627.948427281186</v>
      </c>
      <c r="R23" s="47">
        <f ca="1">IF(DATOS!$G$4="Si",0,R8*DATOS!$L$11)</f>
        <v>32606.5535534308</v>
      </c>
      <c r="S23" s="47">
        <f ca="1">IF(DATOS!$G$4="Si",0,S8*DATOS!$L$11)</f>
        <v>32748.417722360246</v>
      </c>
      <c r="T23" s="47">
        <f ca="1">IF(DATOS!$G$4="Si",0,T8*DATOS!$L$11)</f>
        <v>34310.909439722331</v>
      </c>
      <c r="U23" s="47">
        <f ca="1">IF(DATOS!$G$4="Si",0,U8*DATOS!$L$11)</f>
        <v>31544.326760536485</v>
      </c>
      <c r="V23" s="76">
        <f ca="1">IF(DATOS!$G$4="Si",0,V8*DATOS!$L$11)</f>
        <v>32819.859412556667</v>
      </c>
      <c r="W23" s="47">
        <f t="shared" ca="1" si="3"/>
        <v>572115.24057277071</v>
      </c>
    </row>
    <row r="24" spans="1:24">
      <c r="A24" s="49" t="s">
        <v>96</v>
      </c>
      <c r="B24" s="51" t="s">
        <v>97</v>
      </c>
      <c r="C24" s="48">
        <f>IF(DATOS!$L$21="Si",DATOS!$K$21,0)</f>
        <v>4424.6899999999996</v>
      </c>
      <c r="D24" s="48">
        <f>IF(DATOS!$L$21="Si",DATOS!$K$21,0)</f>
        <v>4424.6899999999996</v>
      </c>
      <c r="E24" s="48">
        <f>IF(DATOS!$L$21="Si",DATOS!$K$21,0)</f>
        <v>4424.6899999999996</v>
      </c>
      <c r="F24" s="48">
        <f>IF(DATOS!$L$21="Si",DATOS!$K$21,0)</f>
        <v>4424.6899999999996</v>
      </c>
      <c r="G24" s="48">
        <f>IF(DATOS!$L$21="Si",DATOS!$K$21,0)</f>
        <v>4424.6899999999996</v>
      </c>
      <c r="H24" s="48">
        <f>IF(DATOS!$L$21="Si",DATOS!$K$21,0)</f>
        <v>4424.6899999999996</v>
      </c>
      <c r="I24" s="48">
        <f>IF(DATOS!$L$21="Si",DATOS!$K$21,0)</f>
        <v>4424.6899999999996</v>
      </c>
      <c r="J24" s="48">
        <f>IF(DATOS!$L$21="Si",DATOS!$K$21,0)</f>
        <v>4424.6899999999996</v>
      </c>
      <c r="K24" s="48">
        <f>IF(DATOS!$L$21="Si",DATOS!$K$21,0)</f>
        <v>4424.6899999999996</v>
      </c>
      <c r="L24" s="48">
        <f>IF(DATOS!$L$21="Si",DATOS!$K$21,0)</f>
        <v>4424.6899999999996</v>
      </c>
      <c r="M24" s="48">
        <f>IF(DATOS!$L$21="Si",DATOS!$K$21,0)</f>
        <v>4424.6899999999996</v>
      </c>
      <c r="N24" s="48">
        <f>IF(DATOS!$L$21="Si",DATOS!$K$21,0)</f>
        <v>4424.6899999999996</v>
      </c>
      <c r="O24" s="48">
        <f>IF(DATOS!$L$21="Si",DATOS!$K$21,0)</f>
        <v>4424.6899999999996</v>
      </c>
      <c r="P24" s="48">
        <f>IF(DATOS!$L$21="Si",DATOS!$K$21,0)</f>
        <v>4424.6899999999996</v>
      </c>
      <c r="Q24" s="48">
        <f>IF(DATOS!$L$21="Si",DATOS!$K$21,0)</f>
        <v>4424.6899999999996</v>
      </c>
      <c r="R24" s="48">
        <f>IF(DATOS!$L$21="Si",DATOS!$K$21,0)</f>
        <v>4424.6899999999996</v>
      </c>
      <c r="S24" s="48">
        <f>IF(DATOS!$L$21="Si",DATOS!$K$21,0)</f>
        <v>4424.6899999999996</v>
      </c>
      <c r="T24" s="48">
        <f>IF(DATOS!$L$21="Si",DATOS!$K$21,0)</f>
        <v>4424.6899999999996</v>
      </c>
      <c r="U24" s="48">
        <f>IF(DATOS!$L$21="Si",DATOS!$K$21,0)</f>
        <v>4424.6899999999996</v>
      </c>
      <c r="V24" s="99">
        <f>IF(DATOS!$L$21="Si",DATOS!$K$21,0)</f>
        <v>4424.6899999999996</v>
      </c>
      <c r="W24" s="47">
        <f t="shared" si="3"/>
        <v>88493.800000000017</v>
      </c>
    </row>
    <row r="25" spans="1:24">
      <c r="B25" s="53" t="s">
        <v>123</v>
      </c>
      <c r="C25" s="82">
        <f ca="1">SUM(C11:C24)</f>
        <v>272254.06546622235</v>
      </c>
      <c r="D25" s="82">
        <f t="shared" ref="D25:V25" ca="1" si="4">SUM(D11:D24)</f>
        <v>73427.648307047464</v>
      </c>
      <c r="E25" s="82">
        <f t="shared" ca="1" si="4"/>
        <v>82875.620500895719</v>
      </c>
      <c r="F25" s="82">
        <f t="shared" ca="1" si="4"/>
        <v>88334.151086623417</v>
      </c>
      <c r="G25" s="82">
        <f t="shared" ca="1" si="4"/>
        <v>67582.635156548902</v>
      </c>
      <c r="H25" s="82">
        <f t="shared" ca="1" si="4"/>
        <v>81622.421850646788</v>
      </c>
      <c r="I25" s="82">
        <f t="shared" ca="1" si="4"/>
        <v>87342.688534964895</v>
      </c>
      <c r="J25" s="82">
        <f t="shared" ca="1" si="4"/>
        <v>88086.876471865078</v>
      </c>
      <c r="K25" s="82">
        <f t="shared" ca="1" si="4"/>
        <v>82198.416170628625</v>
      </c>
      <c r="L25" s="82">
        <f t="shared" ca="1" si="4"/>
        <v>81004.464794395011</v>
      </c>
      <c r="M25" s="82">
        <f t="shared" ca="1" si="4"/>
        <v>86664.330390638177</v>
      </c>
      <c r="N25" s="82">
        <f t="shared" ca="1" si="4"/>
        <v>81221.788136091171</v>
      </c>
      <c r="O25" s="82">
        <f t="shared" ca="1" si="4"/>
        <v>89497.10150397438</v>
      </c>
      <c r="P25" s="82">
        <f t="shared" ca="1" si="4"/>
        <v>99090.748986113729</v>
      </c>
      <c r="Q25" s="82">
        <f t="shared" ca="1" si="4"/>
        <v>84427.093301152228</v>
      </c>
      <c r="R25" s="82">
        <f t="shared" ca="1" si="4"/>
        <v>93761.977912682749</v>
      </c>
      <c r="S25" s="82">
        <f t="shared" ca="1" si="4"/>
        <v>94027.973229425465</v>
      </c>
      <c r="T25" s="82">
        <f t="shared" ca="1" si="4"/>
        <v>96957.645199479375</v>
      </c>
      <c r="U25" s="82">
        <f t="shared" ca="1" si="4"/>
        <v>91770.302676005915</v>
      </c>
      <c r="V25" s="82">
        <f t="shared" ca="1" si="4"/>
        <v>94161.926398543757</v>
      </c>
      <c r="W25" s="54">
        <f ca="1">SUMPRODUCT(W12:W19,X12:X19)+W20+W21+W22+W23+W24</f>
        <v>1725209.8760739451</v>
      </c>
    </row>
    <row r="27" spans="1:24">
      <c r="B27" s="7" t="s">
        <v>125</v>
      </c>
      <c r="C27" s="54">
        <f ca="1">C8-C25</f>
        <v>-142842.39755629611</v>
      </c>
      <c r="D27" s="54">
        <f t="shared" ref="D27:V27" ca="1" si="5">D8-D25</f>
        <v>35380.240511745782</v>
      </c>
      <c r="E27" s="54">
        <f t="shared" ca="1" si="5"/>
        <v>51126.860834826191</v>
      </c>
      <c r="F27" s="54">
        <f t="shared" ca="1" si="5"/>
        <v>60224.411811039012</v>
      </c>
      <c r="G27" s="54">
        <f t="shared" ca="1" si="5"/>
        <v>25638.551927581531</v>
      </c>
      <c r="H27" s="54">
        <f t="shared" ca="1" si="5"/>
        <v>49038.19641774465</v>
      </c>
      <c r="I27" s="54">
        <f t="shared" ca="1" si="5"/>
        <v>58571.974224941456</v>
      </c>
      <c r="J27" s="54">
        <f t="shared" ca="1" si="5"/>
        <v>59812.287453108467</v>
      </c>
      <c r="K27" s="54">
        <f t="shared" ca="1" si="5"/>
        <v>49998.186951047712</v>
      </c>
      <c r="L27" s="54">
        <f t="shared" ca="1" si="5"/>
        <v>48008.267990658351</v>
      </c>
      <c r="M27" s="54">
        <f t="shared" ca="1" si="5"/>
        <v>57441.377317730308</v>
      </c>
      <c r="N27" s="54">
        <f t="shared" ca="1" si="5"/>
        <v>48370.473560151979</v>
      </c>
      <c r="O27" s="54">
        <f t="shared" ca="1" si="5"/>
        <v>62162.662506623921</v>
      </c>
      <c r="P27" s="54">
        <f t="shared" ca="1" si="5"/>
        <v>78152.07497685618</v>
      </c>
      <c r="Q27" s="54">
        <f t="shared" ca="1" si="5"/>
        <v>53712.648835253698</v>
      </c>
      <c r="R27" s="54">
        <f t="shared" ca="1" si="5"/>
        <v>69270.789854471252</v>
      </c>
      <c r="S27" s="54">
        <f t="shared" ca="1" si="5"/>
        <v>69714.115382375749</v>
      </c>
      <c r="T27" s="54">
        <f t="shared" ca="1" si="5"/>
        <v>74596.901999132257</v>
      </c>
      <c r="U27" s="54">
        <f t="shared" ca="1" si="5"/>
        <v>65951.331126676509</v>
      </c>
      <c r="V27" s="54">
        <f t="shared" ca="1" si="5"/>
        <v>69937.37066423957</v>
      </c>
      <c r="W27" s="54">
        <f ca="1">SUM(C27:V27)</f>
        <v>944266.32678990834</v>
      </c>
    </row>
    <row r="28" spans="1:24" ht="16.2" thickBot="1"/>
    <row r="29" spans="1:24" ht="16.2" thickBot="1">
      <c r="B29" s="56" t="s">
        <v>129</v>
      </c>
      <c r="C29" s="47">
        <f ca="1">C27/(1+(DATOS!$B$23/12))^C3</f>
        <v>-142013.98265746093</v>
      </c>
      <c r="D29" s="47">
        <f ca="1">D27/(1+(DATOS!$B$23/12))^D3</f>
        <v>34971.054884146484</v>
      </c>
      <c r="E29" s="47">
        <f ca="1">E27/(1+(DATOS!$B$23/12))^E3</f>
        <v>50242.478567311759</v>
      </c>
      <c r="F29" s="47">
        <f ca="1">F27/(1+(DATOS!$B$23/12))^F3</f>
        <v>58839.431897209557</v>
      </c>
      <c r="G29" s="47">
        <f ca="1">G27/(1+(DATOS!$B$23/12))^G3</f>
        <v>24903.671110675186</v>
      </c>
      <c r="H29" s="47">
        <f ca="1">H27/(1+(DATOS!$B$23/12))^H3</f>
        <v>47356.363396902045</v>
      </c>
      <c r="I29" s="47">
        <f ca="1">I27/(1+(DATOS!$B$23/12))^I3</f>
        <v>56235.128808055291</v>
      </c>
      <c r="J29" s="47">
        <f ca="1">J27/(1+(DATOS!$B$23/12))^J3</f>
        <v>57092.915267159457</v>
      </c>
      <c r="K29" s="47">
        <f ca="1">K27/(1+(DATOS!$B$23/12))^K3</f>
        <v>47448.232560406963</v>
      </c>
      <c r="L29" s="47">
        <f ca="1">L27/(1+(DATOS!$B$23/12))^L3</f>
        <v>45295.577131927166</v>
      </c>
      <c r="M29" s="47">
        <f ca="1">M27/(1+(DATOS!$B$23/12))^M3</f>
        <v>53881.363868082452</v>
      </c>
      <c r="N29" s="47">
        <f ca="1">N27/(1+(DATOS!$B$23/12))^N3</f>
        <v>45109.503877465322</v>
      </c>
      <c r="O29" s="47">
        <f ca="1">O27/(1+(DATOS!$B$23/12))^O3</f>
        <v>57635.663211405212</v>
      </c>
      <c r="P29" s="47">
        <f ca="1">P27/(1+(DATOS!$B$23/12))^P3</f>
        <v>72040.41011872566</v>
      </c>
      <c r="Q29" s="47">
        <f ca="1">Q27/(1+(DATOS!$B$23/12))^Q3</f>
        <v>49225.054920938681</v>
      </c>
      <c r="R29" s="47">
        <f ca="1">R27/(1+(DATOS!$B$23/12))^R3</f>
        <v>63115.16979025922</v>
      </c>
      <c r="S29" s="47">
        <f ca="1">S27/(1+(DATOS!$B$23/12))^S3</f>
        <v>63150.720813892505</v>
      </c>
      <c r="T29" s="47">
        <f ca="1">T27/(1+(DATOS!$B$23/12))^T3</f>
        <v>67181.911850125602</v>
      </c>
      <c r="U29" s="47">
        <f ca="1">U27/(1+(DATOS!$B$23/12))^U3</f>
        <v>59051.251819280842</v>
      </c>
      <c r="V29" s="47">
        <f ca="1">V27/(1+(DATOS!$B$23/12))^V3</f>
        <v>62257.090367018915</v>
      </c>
      <c r="W29" s="103">
        <f ca="1">SUM(C29:V29)</f>
        <v>873019.01160352747</v>
      </c>
    </row>
    <row r="31" spans="1:24">
      <c r="B31" s="7" t="s">
        <v>128</v>
      </c>
      <c r="C31" s="104">
        <f ca="1">C29</f>
        <v>-142013.98265746093</v>
      </c>
      <c r="D31" s="104">
        <f ca="1">C31+D29</f>
        <v>-107042.92777331444</v>
      </c>
      <c r="E31" s="104">
        <f t="shared" ref="E31:V31" ca="1" si="6">D31+E29</f>
        <v>-56800.449206002682</v>
      </c>
      <c r="F31" s="104">
        <f t="shared" ca="1" si="6"/>
        <v>2038.9826912068747</v>
      </c>
      <c r="G31" s="104">
        <f t="shared" ca="1" si="6"/>
        <v>26942.653801882061</v>
      </c>
      <c r="H31" s="104">
        <f t="shared" ca="1" si="6"/>
        <v>74299.017198784102</v>
      </c>
      <c r="I31" s="104">
        <f t="shared" ca="1" si="6"/>
        <v>130534.14600683939</v>
      </c>
      <c r="J31" s="104">
        <f t="shared" ca="1" si="6"/>
        <v>187627.06127399884</v>
      </c>
      <c r="K31" s="104">
        <f t="shared" ca="1" si="6"/>
        <v>235075.29383440581</v>
      </c>
      <c r="L31" s="104">
        <f t="shared" ca="1" si="6"/>
        <v>280370.87096633296</v>
      </c>
      <c r="M31" s="104">
        <f t="shared" ca="1" si="6"/>
        <v>334252.23483441543</v>
      </c>
      <c r="N31" s="104">
        <f t="shared" ca="1" si="6"/>
        <v>379361.73871188075</v>
      </c>
      <c r="O31" s="104">
        <f t="shared" ca="1" si="6"/>
        <v>436997.40192328597</v>
      </c>
      <c r="P31" s="104">
        <f t="shared" ca="1" si="6"/>
        <v>509037.81204201165</v>
      </c>
      <c r="Q31" s="104">
        <f t="shared" ca="1" si="6"/>
        <v>558262.86696295033</v>
      </c>
      <c r="R31" s="104">
        <f t="shared" ca="1" si="6"/>
        <v>621378.03675320954</v>
      </c>
      <c r="S31" s="104">
        <f t="shared" ca="1" si="6"/>
        <v>684528.75756710209</v>
      </c>
      <c r="T31" s="104">
        <f t="shared" ca="1" si="6"/>
        <v>751710.66941722773</v>
      </c>
      <c r="U31" s="104">
        <f t="shared" ca="1" si="6"/>
        <v>810761.92123650853</v>
      </c>
      <c r="V31" s="104">
        <f t="shared" ca="1" si="6"/>
        <v>873019.01160352747</v>
      </c>
    </row>
    <row r="32" spans="1:24">
      <c r="B32" s="7" t="s">
        <v>130</v>
      </c>
      <c r="C32" s="43">
        <f ca="1">IF(C31&lt;0,1,0)</f>
        <v>1</v>
      </c>
      <c r="D32" s="43">
        <f t="shared" ref="D32:V32" ca="1" si="7">IF(D31&lt;0,1,0)</f>
        <v>1</v>
      </c>
      <c r="E32" s="43">
        <f t="shared" ca="1" si="7"/>
        <v>1</v>
      </c>
      <c r="F32" s="43">
        <f t="shared" ca="1" si="7"/>
        <v>0</v>
      </c>
      <c r="G32" s="43">
        <f t="shared" ca="1" si="7"/>
        <v>0</v>
      </c>
      <c r="H32" s="43">
        <f t="shared" ca="1" si="7"/>
        <v>0</v>
      </c>
      <c r="I32" s="43">
        <f t="shared" ca="1" si="7"/>
        <v>0</v>
      </c>
      <c r="J32" s="43">
        <f t="shared" ca="1" si="7"/>
        <v>0</v>
      </c>
      <c r="K32" s="43">
        <f t="shared" ca="1" si="7"/>
        <v>0</v>
      </c>
      <c r="L32" s="43">
        <f t="shared" ca="1" si="7"/>
        <v>0</v>
      </c>
      <c r="M32" s="43">
        <f t="shared" ca="1" si="7"/>
        <v>0</v>
      </c>
      <c r="N32" s="43">
        <f t="shared" ca="1" si="7"/>
        <v>0</v>
      </c>
      <c r="O32" s="43">
        <f t="shared" ca="1" si="7"/>
        <v>0</v>
      </c>
      <c r="P32" s="43">
        <f t="shared" ca="1" si="7"/>
        <v>0</v>
      </c>
      <c r="Q32" s="43">
        <f t="shared" ca="1" si="7"/>
        <v>0</v>
      </c>
      <c r="R32" s="43">
        <f t="shared" ca="1" si="7"/>
        <v>0</v>
      </c>
      <c r="S32" s="43">
        <f t="shared" ca="1" si="7"/>
        <v>0</v>
      </c>
      <c r="T32" s="43">
        <f t="shared" ca="1" si="7"/>
        <v>0</v>
      </c>
      <c r="U32" s="43">
        <f t="shared" ca="1" si="7"/>
        <v>0</v>
      </c>
      <c r="V32" s="43">
        <f t="shared" ca="1" si="7"/>
        <v>0</v>
      </c>
      <c r="W32" s="105">
        <f ca="1">SUM(C32:V32)</f>
        <v>3</v>
      </c>
    </row>
  </sheetData>
  <mergeCells count="2">
    <mergeCell ref="A12:A19"/>
    <mergeCell ref="A20:A22"/>
  </mergeCells>
  <conditionalFormatting sqref="C27:V27">
    <cfRule type="cellIs" dxfId="3" priority="4" operator="lessThan">
      <formula>0</formula>
    </cfRule>
  </conditionalFormatting>
  <conditionalFormatting sqref="C29:V29">
    <cfRule type="cellIs" dxfId="2" priority="3" operator="lessThan">
      <formula>0</formula>
    </cfRule>
  </conditionalFormatting>
  <conditionalFormatting sqref="C31">
    <cfRule type="cellIs" dxfId="1" priority="2" operator="lessThan">
      <formula>0</formula>
    </cfRule>
  </conditionalFormatting>
  <conditionalFormatting sqref="D31:V31">
    <cfRule type="cellIs" dxfId="0" priority="1" operator="lessThan">
      <formula>0</formula>
    </cfRule>
  </conditionalFormatting>
  <pageMargins left="0.7" right="0.7" top="0.75" bottom="0.75" header="0.3" footer="0.3"/>
  <ignoredErrors>
    <ignoredError sqref="C13 W6:W7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80803-2EED-3C48-BE55-F2F9BE2F7020}">
  <dimension ref="A1:H105"/>
  <sheetViews>
    <sheetView workbookViewId="0">
      <selection activeCell="D3" sqref="D3"/>
    </sheetView>
  </sheetViews>
  <sheetFormatPr baseColWidth="10" defaultRowHeight="15.6"/>
  <cols>
    <col min="8" max="8" width="12.69921875" bestFit="1" customWidth="1"/>
  </cols>
  <sheetData>
    <row r="1" spans="1:8">
      <c r="A1" t="s">
        <v>19</v>
      </c>
    </row>
    <row r="2" spans="1:8">
      <c r="A2" t="s">
        <v>20</v>
      </c>
    </row>
    <row r="3" spans="1:8">
      <c r="A3" s="31">
        <v>4.3660958558219398E-5</v>
      </c>
      <c r="B3" s="32">
        <v>-1.2933478853043201</v>
      </c>
      <c r="C3" s="32">
        <v>-3.0114847451239303E-4</v>
      </c>
      <c r="D3" s="32">
        <v>10.084781401780701</v>
      </c>
    </row>
    <row r="4" spans="1:8">
      <c r="A4" s="6" t="s">
        <v>73</v>
      </c>
      <c r="B4" s="6" t="s">
        <v>74</v>
      </c>
      <c r="C4" s="6" t="s">
        <v>75</v>
      </c>
      <c r="D4" s="6" t="s">
        <v>76</v>
      </c>
      <c r="E4" s="6" t="s">
        <v>81</v>
      </c>
      <c r="F4" s="6" t="s">
        <v>84</v>
      </c>
      <c r="G4" s="6" t="s">
        <v>82</v>
      </c>
      <c r="H4" s="6" t="s">
        <v>83</v>
      </c>
    </row>
    <row r="5" spans="1:8">
      <c r="A5" s="2">
        <v>720</v>
      </c>
      <c r="B5" s="2">
        <v>10</v>
      </c>
      <c r="C5" s="2">
        <v>150</v>
      </c>
      <c r="D5" s="2">
        <v>1</v>
      </c>
      <c r="E5" s="2">
        <f>$A$3*A5+$B$3*B5+$C$3*C5+$D$3</f>
        <v>-2.8624338322774427</v>
      </c>
      <c r="F5" s="2">
        <f>EXP(E5)</f>
        <v>5.7129547187604809E-2</v>
      </c>
      <c r="G5" s="2">
        <f>F5/(1+F5)</f>
        <v>5.4042143973359442E-2</v>
      </c>
      <c r="H5" s="2">
        <f>1-G5</f>
        <v>0.94595785602664051</v>
      </c>
    </row>
    <row r="6" spans="1:8">
      <c r="A6" s="2">
        <v>727</v>
      </c>
      <c r="B6" s="2">
        <v>6</v>
      </c>
      <c r="C6" s="2">
        <v>7100</v>
      </c>
      <c r="D6" s="2">
        <v>1</v>
      </c>
      <c r="E6" s="2">
        <f t="shared" ref="E6:E69" si="0">$A$3*A6+$B$3*B6+$C$3*C6+$D$3</f>
        <v>0.21828143778861531</v>
      </c>
      <c r="F6" s="2">
        <f t="shared" ref="F6:F69" si="1">EXP(E6)</f>
        <v>1.2439371092684868</v>
      </c>
      <c r="G6" s="2">
        <f t="shared" ref="G6:G69" si="2">F6/(1+F6)</f>
        <v>0.55435471169421713</v>
      </c>
      <c r="H6" s="2">
        <f t="shared" ref="H6:H69" si="3">1-G6</f>
        <v>0.44564528830578287</v>
      </c>
    </row>
    <row r="7" spans="1:8">
      <c r="A7" s="2">
        <v>4518</v>
      </c>
      <c r="B7" s="2">
        <v>8.5</v>
      </c>
      <c r="C7" s="2">
        <v>1100</v>
      </c>
      <c r="D7" s="2">
        <v>1</v>
      </c>
      <c r="E7" s="2">
        <f t="shared" si="0"/>
        <v>-1.0426787345036175</v>
      </c>
      <c r="F7" s="2">
        <f t="shared" si="1"/>
        <v>0.35250913770316844</v>
      </c>
      <c r="G7" s="2">
        <f t="shared" si="2"/>
        <v>0.26063346108093555</v>
      </c>
      <c r="H7" s="2">
        <f t="shared" si="3"/>
        <v>0.73936653891906445</v>
      </c>
    </row>
    <row r="8" spans="1:8">
      <c r="A8" s="2">
        <v>4844</v>
      </c>
      <c r="B8" s="2">
        <v>9.3000000000000007</v>
      </c>
      <c r="C8" s="2">
        <v>2400</v>
      </c>
      <c r="D8" s="2">
        <v>2</v>
      </c>
      <c r="E8" s="2">
        <f t="shared" si="0"/>
        <v>-2.4546165871232066</v>
      </c>
      <c r="F8" s="2">
        <f t="shared" si="1"/>
        <v>8.5896122807926439E-2</v>
      </c>
      <c r="G8" s="2">
        <f t="shared" si="2"/>
        <v>7.9101601897071841E-2</v>
      </c>
      <c r="H8" s="2">
        <f t="shared" si="3"/>
        <v>0.92089839810292817</v>
      </c>
    </row>
    <row r="9" spans="1:8">
      <c r="A9" s="2">
        <v>6830</v>
      </c>
      <c r="B9" s="2">
        <v>8.5</v>
      </c>
      <c r="C9" s="2">
        <v>1400</v>
      </c>
      <c r="D9" s="2">
        <v>1</v>
      </c>
      <c r="E9" s="2">
        <f t="shared" si="0"/>
        <v>-1.0320791406707315</v>
      </c>
      <c r="F9" s="2">
        <f t="shared" si="1"/>
        <v>0.35626546398266229</v>
      </c>
      <c r="G9" s="2">
        <f t="shared" si="2"/>
        <v>0.26268121797962157</v>
      </c>
      <c r="H9" s="2">
        <f t="shared" si="3"/>
        <v>0.73731878202037837</v>
      </c>
    </row>
    <row r="10" spans="1:8">
      <c r="A10" s="2">
        <v>3826</v>
      </c>
      <c r="B10" s="2">
        <v>8</v>
      </c>
      <c r="C10" s="2">
        <v>1800</v>
      </c>
      <c r="D10" s="2">
        <v>2</v>
      </c>
      <c r="E10" s="2">
        <f t="shared" si="0"/>
        <v>-0.63702210733241849</v>
      </c>
      <c r="F10" s="2">
        <f t="shared" si="1"/>
        <v>0.5288649845824257</v>
      </c>
      <c r="G10" s="2">
        <f t="shared" si="2"/>
        <v>0.34592000596237932</v>
      </c>
      <c r="H10" s="2">
        <f t="shared" si="3"/>
        <v>0.65407999403762074</v>
      </c>
    </row>
    <row r="11" spans="1:8">
      <c r="A11" s="2">
        <v>5268</v>
      </c>
      <c r="B11" s="2">
        <v>9.6</v>
      </c>
      <c r="C11" s="2">
        <v>9700</v>
      </c>
      <c r="D11" s="2">
        <v>2</v>
      </c>
      <c r="E11" s="2">
        <f t="shared" si="0"/>
        <v>-5.0224925702262855</v>
      </c>
      <c r="F11" s="2">
        <f t="shared" si="1"/>
        <v>6.5880849622975898E-3</v>
      </c>
      <c r="G11" s="2">
        <f t="shared" si="2"/>
        <v>6.5449661691001941E-3</v>
      </c>
      <c r="H11" s="2">
        <f t="shared" si="3"/>
        <v>0.99345503383089984</v>
      </c>
    </row>
    <row r="12" spans="1:8">
      <c r="A12" s="2">
        <v>6972</v>
      </c>
      <c r="B12" s="2">
        <v>8.9</v>
      </c>
      <c r="C12" s="2">
        <v>1100</v>
      </c>
      <c r="D12" s="2">
        <v>2</v>
      </c>
      <c r="E12" s="2">
        <f t="shared" si="0"/>
        <v>-1.4528738963234762</v>
      </c>
      <c r="F12" s="2">
        <f t="shared" si="1"/>
        <v>0.23389712516879579</v>
      </c>
      <c r="G12" s="2">
        <f t="shared" si="2"/>
        <v>0.18955966457641185</v>
      </c>
      <c r="H12" s="2">
        <f t="shared" si="3"/>
        <v>0.81044033542358818</v>
      </c>
    </row>
    <row r="13" spans="1:8">
      <c r="A13" s="2">
        <v>32800</v>
      </c>
      <c r="B13" s="2">
        <v>8.6999999999999993</v>
      </c>
      <c r="C13" s="2">
        <v>900</v>
      </c>
      <c r="D13" s="2">
        <v>1</v>
      </c>
      <c r="E13" s="2">
        <f t="shared" si="0"/>
        <v>-6.2993867184406582E-3</v>
      </c>
      <c r="F13" s="2">
        <f t="shared" si="1"/>
        <v>0.99372041282127221</v>
      </c>
      <c r="G13" s="2">
        <f t="shared" si="2"/>
        <v>0.49842515852816049</v>
      </c>
      <c r="H13" s="2">
        <f t="shared" si="3"/>
        <v>0.50157484147183951</v>
      </c>
    </row>
    <row r="14" spans="1:8">
      <c r="A14" s="2">
        <v>989</v>
      </c>
      <c r="B14" s="2">
        <v>7.7</v>
      </c>
      <c r="C14" s="2">
        <v>1700</v>
      </c>
      <c r="D14" s="2">
        <v>2</v>
      </c>
      <c r="E14" s="2">
        <f t="shared" si="0"/>
        <v>-0.34276903371955214</v>
      </c>
      <c r="F14" s="2">
        <f t="shared" si="1"/>
        <v>0.7098021329878289</v>
      </c>
      <c r="G14" s="2">
        <f t="shared" si="2"/>
        <v>0.41513700286913929</v>
      </c>
      <c r="H14" s="2">
        <f t="shared" si="3"/>
        <v>0.58486299713086076</v>
      </c>
    </row>
    <row r="15" spans="1:8">
      <c r="A15" s="2">
        <v>7248</v>
      </c>
      <c r="B15" s="2">
        <v>9</v>
      </c>
      <c r="C15" s="2">
        <v>1200</v>
      </c>
      <c r="D15" s="2">
        <v>2</v>
      </c>
      <c r="E15" s="2">
        <f t="shared" si="0"/>
        <v>-1.6002731077430763</v>
      </c>
      <c r="F15" s="2">
        <f t="shared" si="1"/>
        <v>0.20184138602111804</v>
      </c>
      <c r="G15" s="2">
        <f t="shared" si="2"/>
        <v>0.16794344775340544</v>
      </c>
      <c r="H15" s="2">
        <f t="shared" si="3"/>
        <v>0.83205655224659458</v>
      </c>
    </row>
    <row r="16" spans="1:8">
      <c r="A16" s="2">
        <v>7670</v>
      </c>
      <c r="B16" s="2">
        <v>7.5</v>
      </c>
      <c r="C16" s="2">
        <v>7300</v>
      </c>
      <c r="D16" s="2">
        <v>1</v>
      </c>
      <c r="E16" s="2">
        <f t="shared" si="0"/>
        <v>-1.4788320498006264</v>
      </c>
      <c r="F16" s="2">
        <f t="shared" si="1"/>
        <v>0.22790371318896713</v>
      </c>
      <c r="G16" s="2">
        <f t="shared" si="2"/>
        <v>0.18560389608814065</v>
      </c>
      <c r="H16" s="2">
        <f t="shared" si="3"/>
        <v>0.81439610391185935</v>
      </c>
    </row>
    <row r="17" spans="1:8">
      <c r="A17" s="2">
        <v>50750</v>
      </c>
      <c r="B17" s="2">
        <v>9.1999999999999993</v>
      </c>
      <c r="C17" s="2">
        <v>6000</v>
      </c>
      <c r="D17" s="2">
        <v>2</v>
      </c>
      <c r="E17" s="2">
        <f t="shared" si="0"/>
        <v>-1.4051163432637672</v>
      </c>
      <c r="F17" s="2">
        <f t="shared" si="1"/>
        <v>0.24533851130930745</v>
      </c>
      <c r="G17" s="2">
        <f t="shared" si="2"/>
        <v>0.19700548010144384</v>
      </c>
      <c r="H17" s="2">
        <f t="shared" si="3"/>
        <v>0.80299451989855619</v>
      </c>
    </row>
    <row r="18" spans="1:8">
      <c r="A18" s="2">
        <v>8215</v>
      </c>
      <c r="B18" s="2">
        <v>8.3000000000000007</v>
      </c>
      <c r="C18" s="2">
        <v>1500</v>
      </c>
      <c r="D18" s="2">
        <v>2</v>
      </c>
      <c r="E18" s="2">
        <f t="shared" si="0"/>
        <v>-0.74305398345797258</v>
      </c>
      <c r="F18" s="2">
        <f t="shared" si="1"/>
        <v>0.4756590402287818</v>
      </c>
      <c r="G18" s="2">
        <f t="shared" si="2"/>
        <v>0.32233668297456913</v>
      </c>
      <c r="H18" s="2">
        <f t="shared" si="3"/>
        <v>0.67766331702543092</v>
      </c>
    </row>
    <row r="19" spans="1:8">
      <c r="A19" s="2">
        <v>2600</v>
      </c>
      <c r="B19" s="2">
        <v>8.4</v>
      </c>
      <c r="C19" s="2">
        <v>6700</v>
      </c>
      <c r="D19" s="2">
        <v>2</v>
      </c>
      <c r="E19" s="2">
        <f t="shared" si="0"/>
        <v>-2.6835171217572498</v>
      </c>
      <c r="F19" s="2">
        <f t="shared" si="1"/>
        <v>6.8322432764421584E-2</v>
      </c>
      <c r="G19" s="2">
        <f t="shared" si="2"/>
        <v>6.3953007696027228E-2</v>
      </c>
      <c r="H19" s="2">
        <f t="shared" si="3"/>
        <v>0.93604699230397281</v>
      </c>
    </row>
    <row r="20" spans="1:8">
      <c r="A20" s="2">
        <v>19216</v>
      </c>
      <c r="B20" s="2">
        <v>7.5</v>
      </c>
      <c r="C20" s="2">
        <v>3300</v>
      </c>
      <c r="D20" s="2">
        <v>1</v>
      </c>
      <c r="E20" s="2">
        <f t="shared" si="0"/>
        <v>0.22987127576214661</v>
      </c>
      <c r="F20" s="2">
        <f t="shared" si="1"/>
        <v>1.2584380080294466</v>
      </c>
      <c r="G20" s="2">
        <f t="shared" si="2"/>
        <v>0.55721609517520954</v>
      </c>
      <c r="H20" s="2">
        <f t="shared" si="3"/>
        <v>0.44278390482479046</v>
      </c>
    </row>
    <row r="21" spans="1:8">
      <c r="A21" s="2">
        <v>3561</v>
      </c>
      <c r="B21" s="2">
        <v>8</v>
      </c>
      <c r="C21" s="2">
        <v>2300</v>
      </c>
      <c r="D21" s="2">
        <v>1</v>
      </c>
      <c r="E21" s="2">
        <f t="shared" si="0"/>
        <v>-0.79916649860654587</v>
      </c>
      <c r="F21" s="2">
        <f t="shared" si="1"/>
        <v>0.44970363655824225</v>
      </c>
      <c r="G21" s="2">
        <f t="shared" si="2"/>
        <v>0.31020384112844518</v>
      </c>
      <c r="H21" s="2">
        <f t="shared" si="3"/>
        <v>0.68979615887155488</v>
      </c>
    </row>
    <row r="22" spans="1:8">
      <c r="A22" s="2">
        <v>28763</v>
      </c>
      <c r="B22" s="2">
        <v>8.6</v>
      </c>
      <c r="C22" s="2">
        <v>7600</v>
      </c>
      <c r="D22" s="2">
        <v>2</v>
      </c>
      <c r="E22" s="2">
        <f t="shared" si="0"/>
        <v>-2.0709186671205728</v>
      </c>
      <c r="F22" s="2">
        <f t="shared" si="1"/>
        <v>0.12606991220720051</v>
      </c>
      <c r="G22" s="2">
        <f t="shared" si="2"/>
        <v>0.11195567063868345</v>
      </c>
      <c r="H22" s="2">
        <f t="shared" si="3"/>
        <v>0.8880443293613165</v>
      </c>
    </row>
    <row r="23" spans="1:8">
      <c r="A23" s="2">
        <v>7687</v>
      </c>
      <c r="B23" s="2">
        <v>8.5</v>
      </c>
      <c r="C23" s="2">
        <v>1500</v>
      </c>
      <c r="D23" s="2">
        <v>1</v>
      </c>
      <c r="E23" s="2">
        <f t="shared" si="0"/>
        <v>-1.0247765466375771</v>
      </c>
      <c r="F23" s="2">
        <f t="shared" si="1"/>
        <v>0.35887664864084506</v>
      </c>
      <c r="G23" s="2">
        <f t="shared" si="2"/>
        <v>0.26409803200297483</v>
      </c>
      <c r="H23" s="2">
        <f t="shared" si="3"/>
        <v>0.73590196799702512</v>
      </c>
    </row>
    <row r="24" spans="1:8">
      <c r="A24" s="2">
        <v>12805</v>
      </c>
      <c r="B24" s="2">
        <v>7.6</v>
      </c>
      <c r="C24" s="2">
        <v>8100</v>
      </c>
      <c r="D24" s="2">
        <v>2</v>
      </c>
      <c r="E24" s="2">
        <f t="shared" si="0"/>
        <v>-1.6248865957445151</v>
      </c>
      <c r="F24" s="2">
        <f t="shared" si="1"/>
        <v>0.1969340070923585</v>
      </c>
      <c r="G24" s="2">
        <f t="shared" si="2"/>
        <v>0.16453205099482363</v>
      </c>
      <c r="H24" s="2">
        <f t="shared" si="3"/>
        <v>0.8354679490051764</v>
      </c>
    </row>
    <row r="25" spans="1:8">
      <c r="A25" s="2">
        <v>4095</v>
      </c>
      <c r="B25" s="2">
        <v>5.8</v>
      </c>
      <c r="C25" s="2">
        <v>1200</v>
      </c>
      <c r="D25" s="2">
        <v>1</v>
      </c>
      <c r="E25" s="2">
        <f t="shared" si="0"/>
        <v>2.4007771228966819</v>
      </c>
      <c r="F25" s="2">
        <f t="shared" si="1"/>
        <v>11.031746072821882</v>
      </c>
      <c r="G25" s="2">
        <f t="shared" si="2"/>
        <v>0.91688654381936574</v>
      </c>
      <c r="H25" s="2">
        <f t="shared" si="3"/>
        <v>8.311345618063426E-2</v>
      </c>
    </row>
    <row r="26" spans="1:8">
      <c r="A26" s="2">
        <v>3695</v>
      </c>
      <c r="B26" s="2">
        <v>8.6999999999999993</v>
      </c>
      <c r="C26" s="2">
        <v>1300</v>
      </c>
      <c r="D26" s="2">
        <v>1</v>
      </c>
      <c r="E26" s="2">
        <f t="shared" si="0"/>
        <v>-1.3975109753603725</v>
      </c>
      <c r="F26" s="2">
        <f t="shared" si="1"/>
        <v>0.24721151435920621</v>
      </c>
      <c r="G26" s="2">
        <f t="shared" si="2"/>
        <v>0.19821137915505763</v>
      </c>
      <c r="H26" s="2">
        <f t="shared" si="3"/>
        <v>0.8017886208449424</v>
      </c>
    </row>
    <row r="27" spans="1:8">
      <c r="A27" s="2">
        <v>7186</v>
      </c>
      <c r="B27" s="2">
        <v>7.6</v>
      </c>
      <c r="C27" s="2">
        <v>600</v>
      </c>
      <c r="D27" s="2">
        <v>1</v>
      </c>
      <c r="E27" s="2">
        <f t="shared" si="0"/>
        <v>0.38839603695979719</v>
      </c>
      <c r="F27" s="2">
        <f t="shared" si="1"/>
        <v>1.4746136701751258</v>
      </c>
      <c r="G27" s="2">
        <f t="shared" si="2"/>
        <v>0.59589651829199219</v>
      </c>
      <c r="H27" s="2">
        <f t="shared" si="3"/>
        <v>0.40410348170800781</v>
      </c>
    </row>
    <row r="28" spans="1:8">
      <c r="A28" s="2">
        <v>26086</v>
      </c>
      <c r="B28" s="2">
        <v>7.5</v>
      </c>
      <c r="C28" s="2">
        <v>3700</v>
      </c>
      <c r="D28" s="2">
        <v>1</v>
      </c>
      <c r="E28" s="2">
        <f t="shared" si="0"/>
        <v>0.40936267125215764</v>
      </c>
      <c r="F28" s="2">
        <f t="shared" si="1"/>
        <v>1.5058577527812391</v>
      </c>
      <c r="G28" s="2">
        <f t="shared" si="2"/>
        <v>0.60093504952940568</v>
      </c>
      <c r="H28" s="2">
        <f t="shared" si="3"/>
        <v>0.39906495047059432</v>
      </c>
    </row>
    <row r="29" spans="1:8">
      <c r="A29" s="2">
        <v>8245</v>
      </c>
      <c r="B29" s="2">
        <v>7.6</v>
      </c>
      <c r="C29" s="2">
        <v>1100</v>
      </c>
      <c r="D29" s="2">
        <v>1</v>
      </c>
      <c r="E29" s="2">
        <f t="shared" si="0"/>
        <v>0.2840587548167548</v>
      </c>
      <c r="F29" s="2">
        <f t="shared" si="1"/>
        <v>1.3285109848792176</v>
      </c>
      <c r="G29" s="2">
        <f t="shared" si="2"/>
        <v>0.57054099959426596</v>
      </c>
      <c r="H29" s="2">
        <f t="shared" si="3"/>
        <v>0.42945900040573404</v>
      </c>
    </row>
    <row r="30" spans="1:8">
      <c r="A30" s="2">
        <v>3300</v>
      </c>
      <c r="B30" s="2">
        <v>6.8</v>
      </c>
      <c r="C30" s="2">
        <v>350</v>
      </c>
      <c r="D30" s="2">
        <v>2</v>
      </c>
      <c r="E30" s="2">
        <f t="shared" si="0"/>
        <v>1.3286949788741094</v>
      </c>
      <c r="F30" s="2">
        <f t="shared" si="1"/>
        <v>3.7761122643799037</v>
      </c>
      <c r="G30" s="2">
        <f t="shared" si="2"/>
        <v>0.79062468705813949</v>
      </c>
      <c r="H30" s="2">
        <f t="shared" si="3"/>
        <v>0.20937531294186051</v>
      </c>
    </row>
    <row r="31" spans="1:8">
      <c r="A31" s="2">
        <v>18166</v>
      </c>
      <c r="B31" s="2">
        <v>7.8</v>
      </c>
      <c r="C31" s="2">
        <v>5100</v>
      </c>
      <c r="D31" s="2">
        <v>2</v>
      </c>
      <c r="E31" s="2">
        <f t="shared" si="0"/>
        <v>-0.74604435043758599</v>
      </c>
      <c r="F31" s="2">
        <f t="shared" si="1"/>
        <v>0.47423876976464902</v>
      </c>
      <c r="G31" s="2">
        <f t="shared" si="2"/>
        <v>0.3216838272679246</v>
      </c>
      <c r="H31" s="2">
        <f t="shared" si="3"/>
        <v>0.67831617273207545</v>
      </c>
    </row>
    <row r="32" spans="1:8">
      <c r="A32" s="2">
        <v>14048</v>
      </c>
      <c r="B32" s="2">
        <v>8.6999999999999993</v>
      </c>
      <c r="C32" s="2">
        <v>1500</v>
      </c>
      <c r="D32" s="2">
        <v>1</v>
      </c>
      <c r="E32" s="2">
        <f t="shared" si="0"/>
        <v>-1.0057187663096059</v>
      </c>
      <c r="F32" s="2">
        <f t="shared" si="1"/>
        <v>0.36578162878396242</v>
      </c>
      <c r="G32" s="2">
        <f t="shared" si="2"/>
        <v>0.26781853048473042</v>
      </c>
      <c r="H32" s="2">
        <f t="shared" si="3"/>
        <v>0.73218146951526952</v>
      </c>
    </row>
    <row r="33" spans="1:8">
      <c r="A33" s="2">
        <v>2018</v>
      </c>
      <c r="B33" s="2">
        <v>8.6</v>
      </c>
      <c r="C33" s="2">
        <v>800</v>
      </c>
      <c r="D33" s="2">
        <v>2</v>
      </c>
      <c r="E33" s="2">
        <f t="shared" si="0"/>
        <v>-1.1908213770758795</v>
      </c>
      <c r="F33" s="2">
        <f t="shared" si="1"/>
        <v>0.30397148628931769</v>
      </c>
      <c r="G33" s="2">
        <f t="shared" si="2"/>
        <v>0.23311206532155279</v>
      </c>
      <c r="H33" s="2">
        <f t="shared" si="3"/>
        <v>0.76688793467844718</v>
      </c>
    </row>
    <row r="34" spans="1:8">
      <c r="A34" s="2">
        <v>8729</v>
      </c>
      <c r="B34" s="2">
        <v>9.1999999999999993</v>
      </c>
      <c r="C34" s="2">
        <v>2200</v>
      </c>
      <c r="D34" s="2">
        <v>2</v>
      </c>
      <c r="E34" s="2">
        <f t="shared" si="0"/>
        <v>-2.0954292796916114</v>
      </c>
      <c r="F34" s="2">
        <f t="shared" si="1"/>
        <v>0.12301742343586003</v>
      </c>
      <c r="G34" s="2">
        <f t="shared" si="2"/>
        <v>0.10954186539643304</v>
      </c>
      <c r="H34" s="2">
        <f t="shared" si="3"/>
        <v>0.89045813460356693</v>
      </c>
    </row>
    <row r="35" spans="1:8">
      <c r="A35" s="2">
        <v>8720</v>
      </c>
      <c r="B35" s="2">
        <v>9</v>
      </c>
      <c r="C35" s="2">
        <v>1500</v>
      </c>
      <c r="D35" s="2">
        <v>2</v>
      </c>
      <c r="E35" s="2">
        <f t="shared" si="0"/>
        <v>-1.6263487190990951</v>
      </c>
      <c r="F35" s="2">
        <f t="shared" si="1"/>
        <v>0.19664627568194473</v>
      </c>
      <c r="G35" s="2">
        <f t="shared" si="2"/>
        <v>0.16433116425309557</v>
      </c>
      <c r="H35" s="2">
        <f t="shared" si="3"/>
        <v>0.83566883574690443</v>
      </c>
    </row>
    <row r="36" spans="1:8">
      <c r="A36" s="2">
        <v>8951</v>
      </c>
      <c r="B36" s="2">
        <v>8.5</v>
      </c>
      <c r="C36" s="2">
        <v>9600</v>
      </c>
      <c r="D36" s="2">
        <v>2</v>
      </c>
      <c r="E36" s="2">
        <f t="shared" si="0"/>
        <v>-3.4088917385703716</v>
      </c>
      <c r="F36" s="2">
        <f t="shared" si="1"/>
        <v>3.3077838962668346E-2</v>
      </c>
      <c r="G36" s="2">
        <f t="shared" si="2"/>
        <v>3.2018728613791958E-2</v>
      </c>
      <c r="H36" s="2">
        <f t="shared" si="3"/>
        <v>0.96798127138620804</v>
      </c>
    </row>
    <row r="37" spans="1:8">
      <c r="A37" s="2">
        <v>8437</v>
      </c>
      <c r="B37" s="2">
        <v>8.9</v>
      </c>
      <c r="C37" s="2">
        <v>1600</v>
      </c>
      <c r="D37" s="2">
        <v>1</v>
      </c>
      <c r="E37" s="2">
        <f t="shared" si="0"/>
        <v>-1.5394848292918812</v>
      </c>
      <c r="F37" s="2">
        <f t="shared" si="1"/>
        <v>0.21449157274415745</v>
      </c>
      <c r="G37" s="2">
        <f t="shared" si="2"/>
        <v>0.17661017791956457</v>
      </c>
      <c r="H37" s="2">
        <f t="shared" si="3"/>
        <v>0.82338982208043543</v>
      </c>
    </row>
    <row r="38" spans="1:8">
      <c r="A38" s="2">
        <v>6300</v>
      </c>
      <c r="B38" s="2">
        <v>8.6999999999999993</v>
      </c>
      <c r="C38" s="2">
        <v>800</v>
      </c>
      <c r="D38" s="2">
        <v>2</v>
      </c>
      <c r="E38" s="2">
        <f t="shared" si="0"/>
        <v>-1.1331999410600169</v>
      </c>
      <c r="F38" s="2">
        <f t="shared" si="1"/>
        <v>0.32200122114793878</v>
      </c>
      <c r="G38" s="2">
        <f t="shared" si="2"/>
        <v>0.24357104668052734</v>
      </c>
      <c r="H38" s="2">
        <f t="shared" si="3"/>
        <v>0.75642895331947269</v>
      </c>
    </row>
    <row r="39" spans="1:8">
      <c r="A39" s="2">
        <v>2983</v>
      </c>
      <c r="B39" s="2">
        <v>8.1999999999999993</v>
      </c>
      <c r="C39" s="2">
        <v>2400</v>
      </c>
      <c r="D39" s="2">
        <v>2</v>
      </c>
      <c r="E39" s="2">
        <f t="shared" si="0"/>
        <v>-1.113186957165297</v>
      </c>
      <c r="F39" s="2">
        <f t="shared" si="1"/>
        <v>0.32851034262139156</v>
      </c>
      <c r="G39" s="2">
        <f t="shared" si="2"/>
        <v>0.24727721876307049</v>
      </c>
      <c r="H39" s="2">
        <f t="shared" si="3"/>
        <v>0.75272278123692948</v>
      </c>
    </row>
    <row r="40" spans="1:8">
      <c r="A40" s="2">
        <v>11276</v>
      </c>
      <c r="B40" s="2">
        <v>8.1999999999999993</v>
      </c>
      <c r="C40" s="2">
        <v>8000</v>
      </c>
      <c r="D40" s="2">
        <v>2</v>
      </c>
      <c r="E40" s="2">
        <f t="shared" si="0"/>
        <v>-2.4375380851113864</v>
      </c>
      <c r="F40" s="2">
        <f t="shared" si="1"/>
        <v>8.7375698418844669E-2</v>
      </c>
      <c r="G40" s="2">
        <f t="shared" si="2"/>
        <v>8.0354654371895429E-2</v>
      </c>
      <c r="H40" s="2">
        <f t="shared" si="3"/>
        <v>0.91964534562810463</v>
      </c>
    </row>
    <row r="41" spans="1:8">
      <c r="A41" s="2">
        <v>5450</v>
      </c>
      <c r="B41" s="2">
        <v>7.9</v>
      </c>
      <c r="C41" s="2">
        <v>250</v>
      </c>
      <c r="D41" s="2">
        <v>1</v>
      </c>
      <c r="E41" s="2">
        <f t="shared" si="0"/>
        <v>2.9998213390769024E-2</v>
      </c>
      <c r="F41" s="2">
        <f t="shared" si="1"/>
        <v>1.0304526929355791</v>
      </c>
      <c r="G41" s="2">
        <f t="shared" si="2"/>
        <v>0.50749899099878837</v>
      </c>
      <c r="H41" s="2">
        <f t="shared" si="3"/>
        <v>0.49250100900121163</v>
      </c>
    </row>
    <row r="42" spans="1:8">
      <c r="A42" s="2">
        <v>29003</v>
      </c>
      <c r="B42" s="2">
        <v>9.1999999999999993</v>
      </c>
      <c r="C42" s="2">
        <v>3000</v>
      </c>
      <c r="D42" s="2">
        <v>2</v>
      </c>
      <c r="E42" s="2">
        <f t="shared" si="0"/>
        <v>-1.4511657854921847</v>
      </c>
      <c r="F42" s="2">
        <f t="shared" si="1"/>
        <v>0.23429698879017433</v>
      </c>
      <c r="G42" s="2">
        <f t="shared" si="2"/>
        <v>0.18982221533232949</v>
      </c>
      <c r="H42" s="2">
        <f t="shared" si="3"/>
        <v>0.81017778466767054</v>
      </c>
    </row>
    <row r="43" spans="1:8">
      <c r="A43" s="2">
        <v>5037</v>
      </c>
      <c r="B43" s="2">
        <v>7.3</v>
      </c>
      <c r="C43" s="2">
        <v>700</v>
      </c>
      <c r="D43" s="2">
        <v>2</v>
      </c>
      <c r="E43" s="2">
        <f t="shared" si="0"/>
        <v>0.65245815515823935</v>
      </c>
      <c r="F43" s="2">
        <f t="shared" si="1"/>
        <v>1.9202553176819217</v>
      </c>
      <c r="G43" s="2">
        <f t="shared" si="2"/>
        <v>0.65756418832795993</v>
      </c>
      <c r="H43" s="2">
        <f t="shared" si="3"/>
        <v>0.34243581167204007</v>
      </c>
    </row>
    <row r="44" spans="1:8">
      <c r="A44" s="2">
        <v>3326</v>
      </c>
      <c r="B44" s="2">
        <v>7.8</v>
      </c>
      <c r="C44" s="2">
        <v>800</v>
      </c>
      <c r="D44" s="2">
        <v>2</v>
      </c>
      <c r="E44" s="2">
        <f t="shared" si="0"/>
        <v>-9.9034535038272864E-2</v>
      </c>
      <c r="F44" s="2">
        <f t="shared" si="1"/>
        <v>0.90571142870458088</v>
      </c>
      <c r="G44" s="2">
        <f t="shared" si="2"/>
        <v>0.47526158213798603</v>
      </c>
      <c r="H44" s="2">
        <f t="shared" si="3"/>
        <v>0.52473841786201403</v>
      </c>
    </row>
    <row r="45" spans="1:8">
      <c r="A45" s="2">
        <v>1200</v>
      </c>
      <c r="B45" s="2">
        <v>8.3000000000000007</v>
      </c>
      <c r="C45" s="2">
        <v>1100</v>
      </c>
      <c r="D45" s="2">
        <v>2</v>
      </c>
      <c r="E45" s="2">
        <f t="shared" si="0"/>
        <v>-0.92887621793892627</v>
      </c>
      <c r="F45" s="2">
        <f t="shared" si="1"/>
        <v>0.39499735198500108</v>
      </c>
      <c r="G45" s="2">
        <f t="shared" si="2"/>
        <v>0.2831527611310104</v>
      </c>
      <c r="H45" s="2">
        <f t="shared" si="3"/>
        <v>0.7168472388689896</v>
      </c>
    </row>
    <row r="46" spans="1:8">
      <c r="A46" s="2">
        <v>8629</v>
      </c>
      <c r="B46" s="2">
        <v>8.6999999999999993</v>
      </c>
      <c r="C46" s="2">
        <v>300</v>
      </c>
      <c r="D46" s="2">
        <v>1</v>
      </c>
      <c r="E46" s="2">
        <f t="shared" si="0"/>
        <v>-0.88093933132172531</v>
      </c>
      <c r="F46" s="2">
        <f t="shared" si="1"/>
        <v>0.41439347603410781</v>
      </c>
      <c r="G46" s="2">
        <f t="shared" si="2"/>
        <v>0.29298316420127124</v>
      </c>
      <c r="H46" s="2">
        <f t="shared" si="3"/>
        <v>0.70701683579872876</v>
      </c>
    </row>
    <row r="47" spans="1:8">
      <c r="A47" s="2">
        <v>4032</v>
      </c>
      <c r="B47" s="2">
        <v>8.6</v>
      </c>
      <c r="C47" s="2">
        <v>1600</v>
      </c>
      <c r="D47" s="2">
        <v>2</v>
      </c>
      <c r="E47" s="2">
        <f t="shared" si="0"/>
        <v>-1.3438069861495379</v>
      </c>
      <c r="F47" s="2">
        <f t="shared" si="1"/>
        <v>0.26085072082454686</v>
      </c>
      <c r="G47" s="2">
        <f t="shared" si="2"/>
        <v>0.2068846981774026</v>
      </c>
      <c r="H47" s="2">
        <f t="shared" si="3"/>
        <v>0.79311530182259737</v>
      </c>
    </row>
    <row r="48" spans="1:8">
      <c r="A48" s="2">
        <v>3633</v>
      </c>
      <c r="B48" s="2">
        <v>8.8000000000000007</v>
      </c>
      <c r="C48" s="2">
        <v>600</v>
      </c>
      <c r="D48" s="2">
        <v>2</v>
      </c>
      <c r="E48" s="2">
        <f t="shared" si="0"/>
        <v>-1.3187488111627417</v>
      </c>
      <c r="F48" s="2">
        <f t="shared" si="1"/>
        <v>0.26746974785756034</v>
      </c>
      <c r="G48" s="2">
        <f t="shared" si="2"/>
        <v>0.21102653401366933</v>
      </c>
      <c r="H48" s="2">
        <f t="shared" si="3"/>
        <v>0.78897346598633067</v>
      </c>
    </row>
    <row r="49" spans="1:8">
      <c r="A49" s="2">
        <v>12699</v>
      </c>
      <c r="B49" s="2">
        <v>7.1</v>
      </c>
      <c r="C49" s="2">
        <v>5200</v>
      </c>
      <c r="D49" s="2">
        <v>1</v>
      </c>
      <c r="E49" s="2">
        <f t="shared" si="0"/>
        <v>-0.10951013861358661</v>
      </c>
      <c r="F49" s="2">
        <f t="shared" si="1"/>
        <v>0.8962730773496449</v>
      </c>
      <c r="G49" s="2">
        <f t="shared" si="2"/>
        <v>0.47264979293084453</v>
      </c>
      <c r="H49" s="2">
        <f t="shared" si="3"/>
        <v>0.52735020706915547</v>
      </c>
    </row>
    <row r="50" spans="1:8">
      <c r="A50" s="2">
        <v>28157</v>
      </c>
      <c r="B50" s="2">
        <v>7.9</v>
      </c>
      <c r="C50" s="2">
        <v>4800</v>
      </c>
      <c r="D50" s="2">
        <v>1</v>
      </c>
      <c r="E50" s="2">
        <f t="shared" si="0"/>
        <v>-0.3488179596591312</v>
      </c>
      <c r="F50" s="2">
        <f t="shared" si="1"/>
        <v>0.7055215519644451</v>
      </c>
      <c r="G50" s="2">
        <f t="shared" si="2"/>
        <v>0.41366909210371156</v>
      </c>
      <c r="H50" s="2">
        <f t="shared" si="3"/>
        <v>0.58633090789628839</v>
      </c>
    </row>
    <row r="51" spans="1:8">
      <c r="A51" s="2">
        <v>25273</v>
      </c>
      <c r="B51" s="2">
        <v>8.5</v>
      </c>
      <c r="C51" s="2">
        <v>7100</v>
      </c>
      <c r="D51" s="2">
        <v>2</v>
      </c>
      <c r="E51" s="2">
        <f t="shared" si="0"/>
        <v>-1.9433863867021319</v>
      </c>
      <c r="F51" s="2">
        <f t="shared" si="1"/>
        <v>0.14321813567460176</v>
      </c>
      <c r="G51" s="2">
        <f t="shared" si="2"/>
        <v>0.12527629785201941</v>
      </c>
      <c r="H51" s="2">
        <f t="shared" si="3"/>
        <v>0.87472370214798056</v>
      </c>
    </row>
    <row r="52" spans="1:8">
      <c r="A52" s="2">
        <v>10309</v>
      </c>
      <c r="B52" s="2">
        <v>8.5</v>
      </c>
      <c r="C52" s="2">
        <v>3100</v>
      </c>
      <c r="D52" s="2">
        <v>2</v>
      </c>
      <c r="E52" s="2">
        <f t="shared" si="0"/>
        <v>-1.3921350725177568</v>
      </c>
      <c r="F52" s="2">
        <f t="shared" si="1"/>
        <v>0.24854407809928342</v>
      </c>
      <c r="G52" s="2">
        <f t="shared" si="2"/>
        <v>0.19906712342719499</v>
      </c>
      <c r="H52" s="2">
        <f t="shared" si="3"/>
        <v>0.80093287657280499</v>
      </c>
    </row>
    <row r="53" spans="1:8">
      <c r="A53" s="2">
        <v>10088</v>
      </c>
      <c r="B53" s="2">
        <v>8.8000000000000007</v>
      </c>
      <c r="C53" s="2">
        <v>1700</v>
      </c>
      <c r="D53" s="2">
        <v>2</v>
      </c>
      <c r="E53" s="2">
        <f t="shared" si="0"/>
        <v>-1.3681806456330676</v>
      </c>
      <c r="F53" s="2">
        <f t="shared" si="1"/>
        <v>0.25456969096790233</v>
      </c>
      <c r="G53" s="2">
        <f t="shared" si="2"/>
        <v>0.20291394954034117</v>
      </c>
      <c r="H53" s="2">
        <f t="shared" si="3"/>
        <v>0.79708605045965886</v>
      </c>
    </row>
    <row r="54" spans="1:8">
      <c r="A54" s="2">
        <v>5124</v>
      </c>
      <c r="B54" s="2">
        <v>9.1999999999999993</v>
      </c>
      <c r="C54" s="2">
        <v>2100</v>
      </c>
      <c r="D54" s="2">
        <v>2</v>
      </c>
      <c r="E54" s="2">
        <f t="shared" si="0"/>
        <v>-2.2227121878427543</v>
      </c>
      <c r="F54" s="2">
        <f t="shared" si="1"/>
        <v>0.10831493962178362</v>
      </c>
      <c r="G54" s="2">
        <f t="shared" si="2"/>
        <v>9.7729386972575216E-2</v>
      </c>
      <c r="H54" s="2">
        <f t="shared" si="3"/>
        <v>0.90227061302742473</v>
      </c>
    </row>
    <row r="55" spans="1:8">
      <c r="A55" s="2">
        <v>2500</v>
      </c>
      <c r="B55" s="2">
        <v>7.3</v>
      </c>
      <c r="C55" s="2">
        <v>300</v>
      </c>
      <c r="D55" s="2">
        <v>1</v>
      </c>
      <c r="E55" s="2">
        <f t="shared" si="0"/>
        <v>0.66214969310099647</v>
      </c>
      <c r="F55" s="2">
        <f t="shared" si="1"/>
        <v>1.9389560178525229</v>
      </c>
      <c r="G55" s="2">
        <f t="shared" si="2"/>
        <v>0.65974312173249394</v>
      </c>
      <c r="H55" s="2">
        <f t="shared" si="3"/>
        <v>0.34025687826750606</v>
      </c>
    </row>
    <row r="56" spans="1:8">
      <c r="A56" s="2">
        <v>3052</v>
      </c>
      <c r="B56" s="2">
        <v>6</v>
      </c>
      <c r="C56" s="2">
        <v>1500</v>
      </c>
      <c r="D56" s="2">
        <v>2</v>
      </c>
      <c r="E56" s="2">
        <f t="shared" si="0"/>
        <v>2.0062246237058758</v>
      </c>
      <c r="F56" s="2">
        <f t="shared" si="1"/>
        <v>7.4351936381281112</v>
      </c>
      <c r="G56" s="2">
        <f t="shared" si="2"/>
        <v>0.88144907599039835</v>
      </c>
      <c r="H56" s="2">
        <f t="shared" si="3"/>
        <v>0.11855092400960165</v>
      </c>
    </row>
    <row r="57" spans="1:8">
      <c r="A57" s="2">
        <v>2119</v>
      </c>
      <c r="B57" s="2">
        <v>9.1999999999999993</v>
      </c>
      <c r="C57" s="2">
        <v>500</v>
      </c>
      <c r="D57" s="2">
        <v>2</v>
      </c>
      <c r="E57" s="2">
        <f t="shared" si="0"/>
        <v>-1.8720758090903722</v>
      </c>
      <c r="F57" s="2">
        <f t="shared" si="1"/>
        <v>0.15380406234539878</v>
      </c>
      <c r="G57" s="2">
        <f t="shared" si="2"/>
        <v>0.13330171678608335</v>
      </c>
      <c r="H57" s="2">
        <f t="shared" si="3"/>
        <v>0.86669828321391662</v>
      </c>
    </row>
    <row r="58" spans="1:8">
      <c r="A58" s="2">
        <v>1377</v>
      </c>
      <c r="B58" s="2">
        <v>8.4</v>
      </c>
      <c r="C58" s="2">
        <v>350</v>
      </c>
      <c r="D58" s="2">
        <v>2</v>
      </c>
      <c r="E58" s="2">
        <f t="shared" si="0"/>
        <v>-0.82462166092025768</v>
      </c>
      <c r="F58" s="2">
        <f t="shared" si="1"/>
        <v>0.43840082525724422</v>
      </c>
      <c r="G58" s="2">
        <f t="shared" si="2"/>
        <v>0.30478349119331216</v>
      </c>
      <c r="H58" s="2">
        <f t="shared" si="3"/>
        <v>0.69521650880668784</v>
      </c>
    </row>
    <row r="59" spans="1:8">
      <c r="A59" s="2">
        <v>46596</v>
      </c>
      <c r="B59" s="2">
        <v>8.6</v>
      </c>
      <c r="C59" s="2">
        <v>5100</v>
      </c>
      <c r="D59" s="2">
        <v>2</v>
      </c>
      <c r="E59" s="2">
        <f t="shared" si="0"/>
        <v>-0.53944160687086473</v>
      </c>
      <c r="F59" s="2">
        <f t="shared" si="1"/>
        <v>0.58307374586233718</v>
      </c>
      <c r="G59" s="2">
        <f t="shared" si="2"/>
        <v>0.36831748829535627</v>
      </c>
      <c r="H59" s="2">
        <f t="shared" si="3"/>
        <v>0.63168251170464373</v>
      </c>
    </row>
    <row r="60" spans="1:8">
      <c r="A60" s="2">
        <v>43498</v>
      </c>
      <c r="B60" s="2">
        <v>9.1999999999999993</v>
      </c>
      <c r="C60" s="2">
        <v>7200</v>
      </c>
      <c r="D60" s="2">
        <v>2</v>
      </c>
      <c r="E60" s="2">
        <f t="shared" si="0"/>
        <v>-2.0831237841428472</v>
      </c>
      <c r="F60" s="2">
        <f t="shared" si="1"/>
        <v>0.12454056608477784</v>
      </c>
      <c r="G60" s="2">
        <f t="shared" si="2"/>
        <v>0.11074795328938705</v>
      </c>
      <c r="H60" s="2">
        <f t="shared" si="3"/>
        <v>0.88925204671061298</v>
      </c>
    </row>
    <row r="61" spans="1:8">
      <c r="A61" s="2">
        <v>6552</v>
      </c>
      <c r="B61" s="2">
        <v>8.6999999999999993</v>
      </c>
      <c r="C61" s="2">
        <v>200</v>
      </c>
      <c r="D61" s="2">
        <v>2</v>
      </c>
      <c r="E61" s="2">
        <f t="shared" si="0"/>
        <v>-0.94150829479590747</v>
      </c>
      <c r="F61" s="2">
        <f t="shared" si="1"/>
        <v>0.39003909753402422</v>
      </c>
      <c r="G61" s="2">
        <f t="shared" si="2"/>
        <v>0.28059577477062808</v>
      </c>
      <c r="H61" s="2">
        <f t="shared" si="3"/>
        <v>0.71940422522937197</v>
      </c>
    </row>
    <row r="62" spans="1:8">
      <c r="A62" s="2">
        <v>3500</v>
      </c>
      <c r="B62" s="2">
        <v>9.1</v>
      </c>
      <c r="C62" s="2">
        <v>800</v>
      </c>
      <c r="D62" s="2">
        <v>2</v>
      </c>
      <c r="E62" s="2">
        <f t="shared" si="0"/>
        <v>-1.7727897791447589</v>
      </c>
      <c r="F62" s="2">
        <f t="shared" si="1"/>
        <v>0.16985845962911403</v>
      </c>
      <c r="G62" s="2">
        <f t="shared" si="2"/>
        <v>0.14519573563024463</v>
      </c>
      <c r="H62" s="2">
        <f t="shared" si="3"/>
        <v>0.85480426436975532</v>
      </c>
    </row>
    <row r="63" spans="1:8">
      <c r="A63" s="2">
        <v>12943</v>
      </c>
      <c r="B63" s="2">
        <v>8.1</v>
      </c>
      <c r="C63" s="2">
        <v>10700</v>
      </c>
      <c r="D63" s="2">
        <v>2</v>
      </c>
      <c r="E63" s="2">
        <f t="shared" si="0"/>
        <v>-3.0485213598478644</v>
      </c>
      <c r="F63" s="2">
        <f t="shared" si="1"/>
        <v>4.7429002996058948E-2</v>
      </c>
      <c r="G63" s="2">
        <f t="shared" si="2"/>
        <v>4.5281353543193237E-2</v>
      </c>
      <c r="H63" s="2">
        <f t="shared" si="3"/>
        <v>0.95471864645680671</v>
      </c>
    </row>
    <row r="64" spans="1:8">
      <c r="A64" s="2">
        <v>10537</v>
      </c>
      <c r="B64" s="2">
        <v>9</v>
      </c>
      <c r="C64" s="2">
        <v>9700</v>
      </c>
      <c r="D64" s="2">
        <v>2</v>
      </c>
      <c r="E64" s="2">
        <f t="shared" si="0"/>
        <v>-4.0164342484004347</v>
      </c>
      <c r="F64" s="2">
        <f t="shared" si="1"/>
        <v>1.8017095020974191E-2</v>
      </c>
      <c r="G64" s="2">
        <f t="shared" si="2"/>
        <v>1.7698224429721375E-2</v>
      </c>
      <c r="H64" s="2">
        <f t="shared" si="3"/>
        <v>0.98230177557027865</v>
      </c>
    </row>
    <row r="65" spans="1:8">
      <c r="A65" s="2">
        <v>5850</v>
      </c>
      <c r="B65" s="2">
        <v>8.8000000000000007</v>
      </c>
      <c r="C65" s="2">
        <v>2100</v>
      </c>
      <c r="D65" s="2">
        <v>2</v>
      </c>
      <c r="E65" s="2">
        <f t="shared" si="0"/>
        <v>-1.673675177807759</v>
      </c>
      <c r="F65" s="2">
        <f t="shared" si="1"/>
        <v>0.18755649396487262</v>
      </c>
      <c r="G65" s="2">
        <f t="shared" si="2"/>
        <v>0.15793479713851866</v>
      </c>
      <c r="H65" s="2">
        <f t="shared" si="3"/>
        <v>0.84206520286148134</v>
      </c>
    </row>
    <row r="66" spans="1:8">
      <c r="A66" s="2">
        <v>4037</v>
      </c>
      <c r="B66" s="2">
        <v>8.6</v>
      </c>
      <c r="C66" s="2">
        <v>900</v>
      </c>
      <c r="D66" s="2">
        <v>2</v>
      </c>
      <c r="E66" s="2">
        <f t="shared" si="0"/>
        <v>-1.1327847491980734</v>
      </c>
      <c r="F66" s="2">
        <f t="shared" si="1"/>
        <v>0.3221349411923114</v>
      </c>
      <c r="G66" s="2">
        <f t="shared" si="2"/>
        <v>0.24364755151377185</v>
      </c>
      <c r="H66" s="2">
        <f t="shared" si="3"/>
        <v>0.75635244848622818</v>
      </c>
    </row>
    <row r="67" spans="1:8">
      <c r="A67" s="2">
        <v>20164</v>
      </c>
      <c r="B67" s="2">
        <v>7.7</v>
      </c>
      <c r="C67" s="2">
        <v>1900</v>
      </c>
      <c r="D67" s="2">
        <v>2</v>
      </c>
      <c r="E67" s="2">
        <f t="shared" si="0"/>
        <v>0.43420015173182414</v>
      </c>
      <c r="F67" s="2">
        <f t="shared" si="1"/>
        <v>1.5437278169931656</v>
      </c>
      <c r="G67" s="2">
        <f t="shared" si="2"/>
        <v>0.6068761786070106</v>
      </c>
      <c r="H67" s="2">
        <f t="shared" si="3"/>
        <v>0.3931238213929894</v>
      </c>
    </row>
    <row r="68" spans="1:8">
      <c r="A68" s="2">
        <v>3068</v>
      </c>
      <c r="B68" s="2">
        <v>9.1999999999999993</v>
      </c>
      <c r="C68" s="2">
        <v>250</v>
      </c>
      <c r="D68" s="2">
        <v>2</v>
      </c>
      <c r="E68" s="2">
        <f t="shared" si="0"/>
        <v>-1.7553544407905246</v>
      </c>
      <c r="F68" s="2">
        <f t="shared" si="1"/>
        <v>0.17284596777180719</v>
      </c>
      <c r="G68" s="2">
        <f t="shared" si="2"/>
        <v>0.14737311848390705</v>
      </c>
      <c r="H68" s="2">
        <f t="shared" si="3"/>
        <v>0.85262688151609289</v>
      </c>
    </row>
    <row r="69" spans="1:8">
      <c r="A69" s="2">
        <v>8255</v>
      </c>
      <c r="B69" s="2">
        <v>8.5</v>
      </c>
      <c r="C69" s="2">
        <v>6100</v>
      </c>
      <c r="D69" s="2">
        <v>2</v>
      </c>
      <c r="E69" s="2">
        <f t="shared" si="0"/>
        <v>-2.3852601049335167</v>
      </c>
      <c r="F69" s="2">
        <f t="shared" si="1"/>
        <v>9.2065029896220466E-2</v>
      </c>
      <c r="G69" s="2">
        <f t="shared" si="2"/>
        <v>8.4303615055753095E-2</v>
      </c>
      <c r="H69" s="2">
        <f t="shared" si="3"/>
        <v>0.91569638494424688</v>
      </c>
    </row>
    <row r="70" spans="1:8">
      <c r="A70" s="2">
        <v>13080</v>
      </c>
      <c r="B70" s="2">
        <v>9.1999999999999993</v>
      </c>
      <c r="C70" s="2">
        <v>1500</v>
      </c>
      <c r="D70" s="2">
        <v>2</v>
      </c>
      <c r="E70" s="2">
        <f t="shared" ref="E70:E105" si="4">$A$3*A70+$B$3*B70+$C$3*C70+$D$3</f>
        <v>-1.6946565168461234</v>
      </c>
      <c r="F70" s="2">
        <f t="shared" ref="F70:F105" si="5">EXP(E70)</f>
        <v>0.18366230310177445</v>
      </c>
      <c r="G70" s="2">
        <f t="shared" ref="G70:G105" si="6">F70/(1+F70)</f>
        <v>0.15516444396386483</v>
      </c>
      <c r="H70" s="2">
        <f t="shared" ref="H70:H105" si="7">1-G70</f>
        <v>0.84483555603613514</v>
      </c>
    </row>
    <row r="71" spans="1:8">
      <c r="A71" s="2">
        <v>4597</v>
      </c>
      <c r="B71" s="2">
        <v>9.3000000000000007</v>
      </c>
      <c r="C71" s="2">
        <v>600</v>
      </c>
      <c r="D71" s="2">
        <v>2</v>
      </c>
      <c r="E71" s="2">
        <f t="shared" si="4"/>
        <v>-1.9233335897647788</v>
      </c>
      <c r="F71" s="2">
        <f t="shared" si="5"/>
        <v>0.14611904836595407</v>
      </c>
      <c r="G71" s="2">
        <f t="shared" si="6"/>
        <v>0.12749028870454521</v>
      </c>
      <c r="H71" s="2">
        <f t="shared" si="7"/>
        <v>0.87250971129545474</v>
      </c>
    </row>
    <row r="72" spans="1:8">
      <c r="A72" s="2">
        <v>7947</v>
      </c>
      <c r="B72" s="2">
        <v>9.1999999999999993</v>
      </c>
      <c r="C72" s="2">
        <v>9500</v>
      </c>
      <c r="D72" s="2">
        <v>2</v>
      </c>
      <c r="E72" s="2">
        <f t="shared" si="4"/>
        <v>-4.3279560132246075</v>
      </c>
      <c r="F72" s="2">
        <f t="shared" si="5"/>
        <v>1.319448930799361E-2</v>
      </c>
      <c r="G72" s="2">
        <f t="shared" si="6"/>
        <v>1.3022661934339354E-2</v>
      </c>
      <c r="H72" s="2">
        <f t="shared" si="7"/>
        <v>0.98697733806566068</v>
      </c>
    </row>
    <row r="73" spans="1:8">
      <c r="A73" s="2">
        <v>7218</v>
      </c>
      <c r="B73" s="2">
        <v>9.3000000000000007</v>
      </c>
      <c r="C73" s="2">
        <v>2400</v>
      </c>
      <c r="D73" s="2">
        <v>2</v>
      </c>
      <c r="E73" s="2">
        <f t="shared" si="4"/>
        <v>-2.3509654715059938</v>
      </c>
      <c r="F73" s="2">
        <f t="shared" si="5"/>
        <v>9.5277130441056804E-2</v>
      </c>
      <c r="G73" s="2">
        <f t="shared" si="6"/>
        <v>8.6989062213587598E-2</v>
      </c>
      <c r="H73" s="2">
        <f t="shared" si="7"/>
        <v>0.9130109377864124</v>
      </c>
    </row>
    <row r="74" spans="1:8">
      <c r="A74" s="2">
        <v>3046</v>
      </c>
      <c r="B74" s="2">
        <v>8.1</v>
      </c>
      <c r="C74" s="2">
        <v>300</v>
      </c>
      <c r="D74" s="2">
        <v>2</v>
      </c>
      <c r="E74" s="2">
        <f t="shared" si="4"/>
        <v>-0.34868973176967266</v>
      </c>
      <c r="F74" s="2">
        <f t="shared" si="5"/>
        <v>0.70561202530449973</v>
      </c>
      <c r="G74" s="2">
        <f t="shared" si="6"/>
        <v>0.41370019373457934</v>
      </c>
      <c r="H74" s="2">
        <f t="shared" si="7"/>
        <v>0.58629980626542066</v>
      </c>
    </row>
    <row r="75" spans="1:8">
      <c r="A75" s="2">
        <v>2882</v>
      </c>
      <c r="B75" s="2">
        <v>8.8000000000000007</v>
      </c>
      <c r="C75" s="2">
        <v>800</v>
      </c>
      <c r="D75" s="2">
        <v>2</v>
      </c>
      <c r="E75" s="2">
        <f t="shared" si="4"/>
        <v>-1.4117678859424441</v>
      </c>
      <c r="F75" s="2">
        <f t="shared" si="5"/>
        <v>0.24371204697571242</v>
      </c>
      <c r="G75" s="2">
        <f t="shared" si="6"/>
        <v>0.19595536407992331</v>
      </c>
      <c r="H75" s="2">
        <f t="shared" si="7"/>
        <v>0.80404463592007669</v>
      </c>
    </row>
    <row r="76" spans="1:8">
      <c r="A76" s="2">
        <v>4500</v>
      </c>
      <c r="B76" s="2">
        <v>8.5</v>
      </c>
      <c r="C76" s="2">
        <v>400</v>
      </c>
      <c r="D76" s="2">
        <v>2</v>
      </c>
      <c r="E76" s="2">
        <f t="shared" si="4"/>
        <v>-0.83266069959899092</v>
      </c>
      <c r="F76" s="2">
        <f t="shared" si="5"/>
        <v>0.43489063225901975</v>
      </c>
      <c r="G76" s="2">
        <f t="shared" si="6"/>
        <v>0.30308277333607631</v>
      </c>
      <c r="H76" s="2">
        <f t="shared" si="7"/>
        <v>0.69691722666392364</v>
      </c>
    </row>
    <row r="77" spans="1:8">
      <c r="A77" s="2">
        <v>25735</v>
      </c>
      <c r="B77" s="2">
        <v>7.2</v>
      </c>
      <c r="C77" s="2">
        <v>3900</v>
      </c>
      <c r="D77" s="2">
        <v>1</v>
      </c>
      <c r="E77" s="2">
        <f t="shared" si="4"/>
        <v>0.72181234548703976</v>
      </c>
      <c r="F77" s="2">
        <f t="shared" si="5"/>
        <v>2.0581599294325481</v>
      </c>
      <c r="G77" s="2">
        <f t="shared" si="6"/>
        <v>0.67300598298482273</v>
      </c>
      <c r="H77" s="2">
        <f t="shared" si="7"/>
        <v>0.32699401701517727</v>
      </c>
    </row>
    <row r="78" spans="1:8">
      <c r="A78" s="2">
        <v>10173</v>
      </c>
      <c r="B78" s="2">
        <v>9.1</v>
      </c>
      <c r="C78" s="2">
        <v>1300</v>
      </c>
      <c r="D78" s="2">
        <v>2</v>
      </c>
      <c r="E78" s="2">
        <f t="shared" si="4"/>
        <v>-1.6320144399419565</v>
      </c>
      <c r="F78" s="2">
        <f t="shared" si="5"/>
        <v>0.19553528303817158</v>
      </c>
      <c r="G78" s="2">
        <f t="shared" si="6"/>
        <v>0.16355458999191114</v>
      </c>
      <c r="H78" s="2">
        <f t="shared" si="7"/>
        <v>0.83644541000808892</v>
      </c>
    </row>
    <row r="79" spans="1:8">
      <c r="A79" s="2">
        <v>3088</v>
      </c>
      <c r="B79" s="2">
        <v>6.9</v>
      </c>
      <c r="C79" s="2">
        <v>4100</v>
      </c>
      <c r="D79" s="2">
        <v>1</v>
      </c>
      <c r="E79" s="2">
        <f t="shared" si="4"/>
        <v>6.0797287707861969E-2</v>
      </c>
      <c r="F79" s="2">
        <f t="shared" si="5"/>
        <v>1.0626834733489801</v>
      </c>
      <c r="G79" s="2">
        <f t="shared" si="6"/>
        <v>0.51519464187280439</v>
      </c>
      <c r="H79" s="2">
        <f t="shared" si="7"/>
        <v>0.48480535812719561</v>
      </c>
    </row>
    <row r="80" spans="1:8">
      <c r="A80" s="2">
        <v>6229</v>
      </c>
      <c r="B80" s="2">
        <v>8.9</v>
      </c>
      <c r="C80" s="2">
        <v>1300</v>
      </c>
      <c r="D80" s="2">
        <v>2</v>
      </c>
      <c r="E80" s="2">
        <f t="shared" si="4"/>
        <v>-1.5455436834347118</v>
      </c>
      <c r="F80" s="2">
        <f t="shared" si="5"/>
        <v>0.2131959286129981</v>
      </c>
      <c r="G80" s="2">
        <f t="shared" si="6"/>
        <v>0.17573083092748021</v>
      </c>
      <c r="H80" s="2">
        <f t="shared" si="7"/>
        <v>0.82426916907251979</v>
      </c>
    </row>
    <row r="81" spans="1:8">
      <c r="A81" s="2">
        <v>6661</v>
      </c>
      <c r="B81" s="2">
        <v>8.9</v>
      </c>
      <c r="C81" s="2">
        <v>500</v>
      </c>
      <c r="D81" s="2">
        <v>1</v>
      </c>
      <c r="E81" s="2">
        <f t="shared" si="4"/>
        <v>-1.2857633697276452</v>
      </c>
      <c r="F81" s="2">
        <f t="shared" si="5"/>
        <v>0.27643947753754583</v>
      </c>
      <c r="G81" s="2">
        <f t="shared" si="6"/>
        <v>0.21657076767230785</v>
      </c>
      <c r="H81" s="2">
        <f t="shared" si="7"/>
        <v>0.78342923232769213</v>
      </c>
    </row>
    <row r="82" spans="1:8">
      <c r="A82" s="2">
        <v>1346</v>
      </c>
      <c r="B82" s="2">
        <v>8.3000000000000007</v>
      </c>
      <c r="C82" s="2">
        <v>1200</v>
      </c>
      <c r="D82" s="2">
        <v>2</v>
      </c>
      <c r="E82" s="2">
        <f t="shared" si="4"/>
        <v>-0.95261656544066398</v>
      </c>
      <c r="F82" s="2">
        <f t="shared" si="5"/>
        <v>0.38573041299882743</v>
      </c>
      <c r="G82" s="2">
        <f t="shared" si="6"/>
        <v>0.27835891410081492</v>
      </c>
      <c r="H82" s="2">
        <f t="shared" si="7"/>
        <v>0.72164108589918508</v>
      </c>
    </row>
    <row r="83" spans="1:8">
      <c r="A83" s="2">
        <v>7412</v>
      </c>
      <c r="B83" s="2">
        <v>8.6</v>
      </c>
      <c r="C83" s="2">
        <v>600</v>
      </c>
      <c r="D83" s="2">
        <v>2</v>
      </c>
      <c r="E83" s="2">
        <f t="shared" si="4"/>
        <v>-0.89508447171036387</v>
      </c>
      <c r="F83" s="2">
        <f t="shared" si="5"/>
        <v>0.40857308431588613</v>
      </c>
      <c r="G83" s="2">
        <f t="shared" si="6"/>
        <v>0.2900616864437115</v>
      </c>
      <c r="H83" s="2">
        <f t="shared" si="7"/>
        <v>0.70993831355628845</v>
      </c>
    </row>
    <row r="84" spans="1:8">
      <c r="A84" s="2">
        <v>10949</v>
      </c>
      <c r="B84" s="2">
        <v>9.1999999999999993</v>
      </c>
      <c r="C84" s="2">
        <v>1600</v>
      </c>
      <c r="D84" s="2">
        <v>2</v>
      </c>
      <c r="E84" s="2">
        <f t="shared" si="4"/>
        <v>-1.8178128669849283</v>
      </c>
      <c r="F84" s="2">
        <f t="shared" si="5"/>
        <v>0.16238051061492789</v>
      </c>
      <c r="G84" s="2">
        <f t="shared" si="6"/>
        <v>0.13969651859443566</v>
      </c>
      <c r="H84" s="2">
        <f t="shared" si="7"/>
        <v>0.86030348140556434</v>
      </c>
    </row>
    <row r="85" spans="1:8">
      <c r="A85" s="2">
        <v>1942</v>
      </c>
      <c r="B85" s="2">
        <v>7.7</v>
      </c>
      <c r="C85" s="2">
        <v>1600</v>
      </c>
      <c r="D85" s="2">
        <v>2</v>
      </c>
      <c r="E85" s="2">
        <f t="shared" si="4"/>
        <v>-0.2710452927623308</v>
      </c>
      <c r="F85" s="2">
        <f t="shared" si="5"/>
        <v>0.76258195617956115</v>
      </c>
      <c r="G85" s="2">
        <f t="shared" si="6"/>
        <v>0.43265049520447596</v>
      </c>
      <c r="H85" s="2">
        <f t="shared" si="7"/>
        <v>0.56734950479552404</v>
      </c>
    </row>
    <row r="86" spans="1:8">
      <c r="A86" s="2">
        <v>2753</v>
      </c>
      <c r="B86" s="2">
        <v>8.5</v>
      </c>
      <c r="C86" s="2">
        <v>1000</v>
      </c>
      <c r="D86" s="2">
        <v>2</v>
      </c>
      <c r="E86" s="2">
        <f t="shared" si="4"/>
        <v>-1.0896254789076352</v>
      </c>
      <c r="F86" s="2">
        <f t="shared" si="5"/>
        <v>0.33634243745805098</v>
      </c>
      <c r="G86" s="2">
        <f t="shared" si="6"/>
        <v>0.25168880971693985</v>
      </c>
      <c r="H86" s="2">
        <f t="shared" si="7"/>
        <v>0.74831119028306015</v>
      </c>
    </row>
    <row r="87" spans="1:8">
      <c r="A87" s="2">
        <v>6996</v>
      </c>
      <c r="B87" s="2">
        <v>8.6999999999999993</v>
      </c>
      <c r="C87" s="2">
        <v>1300</v>
      </c>
      <c r="D87" s="2">
        <v>2</v>
      </c>
      <c r="E87" s="2">
        <f t="shared" si="4"/>
        <v>-1.2533861511596918</v>
      </c>
      <c r="F87" s="2">
        <f t="shared" si="5"/>
        <v>0.28553628899247513</v>
      </c>
      <c r="G87" s="2">
        <f t="shared" si="6"/>
        <v>0.22211453028390279</v>
      </c>
      <c r="H87" s="2">
        <f t="shared" si="7"/>
        <v>0.77788546971609718</v>
      </c>
    </row>
    <row r="88" spans="1:8">
      <c r="A88" s="2">
        <v>7250</v>
      </c>
      <c r="B88" s="2">
        <v>7.6</v>
      </c>
      <c r="C88" s="2">
        <v>5500</v>
      </c>
      <c r="D88" s="2">
        <v>2</v>
      </c>
      <c r="E88" s="2">
        <f t="shared" si="4"/>
        <v>-1.0844371868032017</v>
      </c>
      <c r="F88" s="2">
        <f t="shared" si="5"/>
        <v>0.33809201500574193</v>
      </c>
      <c r="G88" s="2">
        <f t="shared" si="6"/>
        <v>0.25266723903459742</v>
      </c>
      <c r="H88" s="2">
        <f t="shared" si="7"/>
        <v>0.74733276096540258</v>
      </c>
    </row>
    <row r="89" spans="1:8">
      <c r="A89" s="2">
        <v>8074</v>
      </c>
      <c r="B89" s="2">
        <v>8.6999999999999993</v>
      </c>
      <c r="C89" s="2">
        <v>8900</v>
      </c>
      <c r="D89" s="2">
        <v>2</v>
      </c>
      <c r="E89" s="2">
        <f t="shared" si="4"/>
        <v>-3.4950480441281169</v>
      </c>
      <c r="F89" s="2">
        <f t="shared" si="5"/>
        <v>3.0347290392489637E-2</v>
      </c>
      <c r="G89" s="2">
        <f t="shared" si="6"/>
        <v>2.9453457756878708E-2</v>
      </c>
      <c r="H89" s="2">
        <f t="shared" si="7"/>
        <v>0.97054654224312131</v>
      </c>
    </row>
    <row r="90" spans="1:8">
      <c r="A90" s="2">
        <v>1756</v>
      </c>
      <c r="B90" s="2">
        <v>8.1999999999999993</v>
      </c>
      <c r="C90" s="2">
        <v>200</v>
      </c>
      <c r="D90" s="2">
        <v>1</v>
      </c>
      <c r="E90" s="2">
        <f t="shared" si="4"/>
        <v>-0.50423230938896779</v>
      </c>
      <c r="F90" s="2">
        <f t="shared" si="5"/>
        <v>0.60396905887418406</v>
      </c>
      <c r="G90" s="2">
        <f t="shared" si="6"/>
        <v>0.37654657708803074</v>
      </c>
      <c r="H90" s="2">
        <f t="shared" si="7"/>
        <v>0.62345342291196926</v>
      </c>
    </row>
    <row r="91" spans="1:8">
      <c r="A91" s="2">
        <v>4542</v>
      </c>
      <c r="B91" s="2">
        <v>8.4</v>
      </c>
      <c r="C91" s="2">
        <v>1000</v>
      </c>
      <c r="D91" s="2">
        <v>1</v>
      </c>
      <c r="E91" s="2">
        <f t="shared" si="4"/>
        <v>-0.88218123551654948</v>
      </c>
      <c r="F91" s="2">
        <f t="shared" si="5"/>
        <v>0.41387915847058687</v>
      </c>
      <c r="G91" s="2">
        <f t="shared" si="6"/>
        <v>0.29272597731639655</v>
      </c>
      <c r="H91" s="2">
        <f t="shared" si="7"/>
        <v>0.7072740226836034</v>
      </c>
    </row>
    <row r="92" spans="1:8">
      <c r="A92" s="2">
        <v>3997</v>
      </c>
      <c r="B92" s="2">
        <v>7.3</v>
      </c>
      <c r="C92" s="2">
        <v>600</v>
      </c>
      <c r="D92" s="2">
        <v>1</v>
      </c>
      <c r="E92" s="2">
        <f t="shared" si="4"/>
        <v>0.63716560570893321</v>
      </c>
      <c r="F92" s="2">
        <f t="shared" si="5"/>
        <v>1.8911131155006973</v>
      </c>
      <c r="G92" s="2">
        <f t="shared" si="6"/>
        <v>0.65411246116988575</v>
      </c>
      <c r="H92" s="2">
        <f t="shared" si="7"/>
        <v>0.34588753883011425</v>
      </c>
    </row>
    <row r="93" spans="1:8">
      <c r="A93" s="2">
        <v>7312</v>
      </c>
      <c r="B93" s="2">
        <v>7.5</v>
      </c>
      <c r="C93" s="2">
        <v>1100</v>
      </c>
      <c r="D93" s="2">
        <v>2</v>
      </c>
      <c r="E93" s="2">
        <f t="shared" si="4"/>
        <v>0.37265786901236808</v>
      </c>
      <c r="F93" s="2">
        <f t="shared" si="5"/>
        <v>1.4515876217596311</v>
      </c>
      <c r="G93" s="2">
        <f t="shared" si="6"/>
        <v>0.59210105683179759</v>
      </c>
      <c r="H93" s="2">
        <f t="shared" si="7"/>
        <v>0.40789894316820241</v>
      </c>
    </row>
    <row r="94" spans="1:8">
      <c r="A94" s="2">
        <v>13533</v>
      </c>
      <c r="B94" s="2">
        <v>8</v>
      </c>
      <c r="C94" s="2">
        <v>8100</v>
      </c>
      <c r="D94" s="2">
        <v>2</v>
      </c>
      <c r="E94" s="2">
        <f t="shared" si="4"/>
        <v>-2.110440572035861</v>
      </c>
      <c r="F94" s="2">
        <f t="shared" si="5"/>
        <v>0.12118456414032874</v>
      </c>
      <c r="G94" s="2">
        <f t="shared" si="6"/>
        <v>0.10808618671382382</v>
      </c>
      <c r="H94" s="2">
        <f t="shared" si="7"/>
        <v>0.89191381328617614</v>
      </c>
    </row>
    <row r="95" spans="1:8">
      <c r="A95" s="2">
        <v>7560</v>
      </c>
      <c r="B95" s="2">
        <v>6.8</v>
      </c>
      <c r="C95" s="2">
        <v>1100</v>
      </c>
      <c r="D95" s="2">
        <v>1</v>
      </c>
      <c r="E95" s="2">
        <f t="shared" si="4"/>
        <v>1.2888293064478304</v>
      </c>
      <c r="F95" s="2">
        <f t="shared" si="5"/>
        <v>3.6285361643938985</v>
      </c>
      <c r="G95" s="2">
        <f t="shared" si="6"/>
        <v>0.78394897123355445</v>
      </c>
      <c r="H95" s="2">
        <f t="shared" si="7"/>
        <v>0.21605102876644555</v>
      </c>
    </row>
    <row r="96" spans="1:8">
      <c r="A96" s="2">
        <v>11535</v>
      </c>
      <c r="B96" s="2">
        <v>9</v>
      </c>
      <c r="C96" s="2">
        <v>1800</v>
      </c>
      <c r="D96" s="2">
        <v>2</v>
      </c>
      <c r="E96" s="2">
        <f t="shared" si="4"/>
        <v>-1.5937876631114261</v>
      </c>
      <c r="F96" s="2">
        <f t="shared" si="5"/>
        <v>0.20315467117042443</v>
      </c>
      <c r="G96" s="2">
        <f t="shared" si="6"/>
        <v>0.16885166640528132</v>
      </c>
      <c r="H96" s="2">
        <f t="shared" si="7"/>
        <v>0.83114833359471874</v>
      </c>
    </row>
    <row r="97" spans="1:8">
      <c r="A97" s="2">
        <v>3174</v>
      </c>
      <c r="B97" s="2">
        <v>8</v>
      </c>
      <c r="C97" s="2">
        <v>1200</v>
      </c>
      <c r="D97" s="2">
        <v>2</v>
      </c>
      <c r="E97" s="2">
        <f t="shared" si="4"/>
        <v>-0.48479996760494259</v>
      </c>
      <c r="F97" s="2">
        <f t="shared" si="5"/>
        <v>0.61582036846793875</v>
      </c>
      <c r="G97" s="2">
        <f t="shared" si="6"/>
        <v>0.38111932519568181</v>
      </c>
      <c r="H97" s="2">
        <f t="shared" si="7"/>
        <v>0.61888067480431819</v>
      </c>
    </row>
    <row r="98" spans="1:8">
      <c r="A98" s="2">
        <v>23616</v>
      </c>
      <c r="B98" s="2">
        <v>8.3000000000000007</v>
      </c>
      <c r="C98" s="2">
        <v>1500</v>
      </c>
      <c r="D98" s="2">
        <v>2</v>
      </c>
      <c r="E98" s="2">
        <f t="shared" si="4"/>
        <v>-7.0631560702835827E-2</v>
      </c>
      <c r="F98" s="2">
        <f t="shared" si="5"/>
        <v>0.93180514252204694</v>
      </c>
      <c r="G98" s="2">
        <f t="shared" si="6"/>
        <v>0.48234944716294681</v>
      </c>
      <c r="H98" s="2">
        <f t="shared" si="7"/>
        <v>0.51765055283705319</v>
      </c>
    </row>
    <row r="99" spans="1:8">
      <c r="A99" s="2">
        <v>1009</v>
      </c>
      <c r="B99" s="2">
        <v>8.6999999999999993</v>
      </c>
      <c r="C99" s="2">
        <v>2900</v>
      </c>
      <c r="D99" s="2">
        <v>2</v>
      </c>
      <c r="E99" s="2">
        <f t="shared" si="4"/>
        <v>-1.9966218692675781</v>
      </c>
      <c r="F99" s="2">
        <f t="shared" si="5"/>
        <v>0.13579323659374551</v>
      </c>
      <c r="G99" s="2">
        <f t="shared" si="6"/>
        <v>0.11955806058591323</v>
      </c>
      <c r="H99" s="2">
        <f t="shared" si="7"/>
        <v>0.88044193941408677</v>
      </c>
    </row>
    <row r="100" spans="1:8">
      <c r="A100" s="2">
        <v>21708</v>
      </c>
      <c r="B100" s="2">
        <v>9.6999999999999993</v>
      </c>
      <c r="C100" s="2">
        <v>10500</v>
      </c>
      <c r="D100" s="2">
        <v>2</v>
      </c>
      <c r="E100" s="2">
        <f t="shared" si="4"/>
        <v>-4.6749599796695041</v>
      </c>
      <c r="F100" s="2">
        <f t="shared" si="5"/>
        <v>9.3258983557944902E-3</v>
      </c>
      <c r="G100" s="2">
        <f t="shared" si="6"/>
        <v>9.2397295769250602E-3</v>
      </c>
      <c r="H100" s="2">
        <f t="shared" si="7"/>
        <v>0.99076027042307491</v>
      </c>
    </row>
    <row r="101" spans="1:8">
      <c r="A101" s="2">
        <v>6055</v>
      </c>
      <c r="B101" s="2">
        <v>7</v>
      </c>
      <c r="C101" s="2">
        <v>7700</v>
      </c>
      <c r="D101" s="2">
        <v>2</v>
      </c>
      <c r="E101" s="2">
        <f t="shared" si="4"/>
        <v>-1.023129945024948</v>
      </c>
      <c r="F101" s="2">
        <f t="shared" si="5"/>
        <v>0.35946806228693889</v>
      </c>
      <c r="G101" s="2">
        <f t="shared" si="6"/>
        <v>0.26441817373938942</v>
      </c>
      <c r="H101" s="2">
        <f t="shared" si="7"/>
        <v>0.73558182626061064</v>
      </c>
    </row>
    <row r="102" spans="1:8">
      <c r="A102" s="2">
        <v>1532</v>
      </c>
      <c r="B102" s="2">
        <v>8.6999999999999993</v>
      </c>
      <c r="C102" s="2">
        <v>15300</v>
      </c>
      <c r="D102" s="2">
        <v>2</v>
      </c>
      <c r="E102" s="2">
        <f t="shared" si="4"/>
        <v>-5.7080282718953033</v>
      </c>
      <c r="F102" s="2">
        <f t="shared" si="5"/>
        <v>3.319210678050574E-3</v>
      </c>
      <c r="G102" s="2">
        <f t="shared" si="6"/>
        <v>3.3082299658225688E-3</v>
      </c>
      <c r="H102" s="2">
        <f t="shared" si="7"/>
        <v>0.99669177003417742</v>
      </c>
    </row>
    <row r="103" spans="1:8">
      <c r="A103" s="2">
        <v>1817</v>
      </c>
      <c r="B103" s="2">
        <v>6</v>
      </c>
      <c r="C103" s="2">
        <v>1400</v>
      </c>
      <c r="D103" s="2">
        <v>1</v>
      </c>
      <c r="E103" s="2">
        <f t="shared" si="4"/>
        <v>1.9824181873377142</v>
      </c>
      <c r="F103" s="2">
        <f t="shared" si="5"/>
        <v>7.2602784880584874</v>
      </c>
      <c r="G103" s="2">
        <f t="shared" si="6"/>
        <v>0.87893870631048876</v>
      </c>
      <c r="H103" s="2">
        <f t="shared" si="7"/>
        <v>0.12106129368951124</v>
      </c>
    </row>
    <row r="104" spans="1:8">
      <c r="A104" s="2">
        <v>4905</v>
      </c>
      <c r="B104" s="2">
        <v>6.2</v>
      </c>
      <c r="C104" s="2">
        <v>1400</v>
      </c>
      <c r="D104" s="2">
        <v>1</v>
      </c>
      <c r="E104" s="2">
        <f t="shared" si="4"/>
        <v>1.8585736503046313</v>
      </c>
      <c r="F104" s="2">
        <f t="shared" si="5"/>
        <v>6.4145808077973427</v>
      </c>
      <c r="G104" s="2">
        <f t="shared" si="6"/>
        <v>0.86513060873942094</v>
      </c>
      <c r="H104" s="2">
        <f t="shared" si="7"/>
        <v>0.13486939126057906</v>
      </c>
    </row>
    <row r="105" spans="1:8">
      <c r="A105" s="4">
        <f>DATOS!K25</f>
        <v>1000</v>
      </c>
      <c r="B105" s="2">
        <f>DATOS!K26</f>
        <v>7.9</v>
      </c>
      <c r="C105" s="2">
        <f>DATOS!K27</f>
        <v>7200</v>
      </c>
      <c r="D105" s="2">
        <v>2</v>
      </c>
      <c r="E105" s="2">
        <f t="shared" si="4"/>
        <v>-2.2572749500544393</v>
      </c>
      <c r="F105" s="2">
        <f t="shared" si="5"/>
        <v>0.10463523283773006</v>
      </c>
      <c r="G105" s="2">
        <f t="shared" si="6"/>
        <v>9.4723787298481799E-2</v>
      </c>
      <c r="H105" s="2">
        <f t="shared" si="7"/>
        <v>0.90527621270151815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DATOS</vt:lpstr>
      <vt:lpstr>FLUJOS_DIARIOS</vt:lpstr>
      <vt:lpstr>FLUJO_MENSUAL</vt:lpstr>
      <vt:lpstr>FLUJO_ANUAL</vt:lpstr>
      <vt:lpstr>LOGIT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David J Delgado H</cp:lastModifiedBy>
  <dcterms:created xsi:type="dcterms:W3CDTF">2022-05-15T21:41:04Z</dcterms:created>
  <dcterms:modified xsi:type="dcterms:W3CDTF">2022-05-24T02:22:55Z</dcterms:modified>
</cp:coreProperties>
</file>