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0730" windowHeight="11760" tabRatio="500" activeTab="1"/>
  </bookViews>
  <sheets>
    <sheet name="Tassement_sans_surchage" sheetId="1" r:id="rId1"/>
    <sheet name="Tassement_diff" sheetId="2" r:id="rId2"/>
    <sheet name="Portance_profonde" sheetId="3" r:id="rId3"/>
    <sheet name="Portance_inclusion" sheetId="4" r:id="rId4"/>
    <sheet name="tassement_profonde" sheetId="5" r:id="rId5"/>
    <sheet name="Feuil3" sheetId="6" r:id="rId6"/>
  </sheets>
  <definedNames>
    <definedName name="solver_adj" localSheetId="3" hidden="1">Portance_inclusion!$B$40</definedName>
    <definedName name="solver_adj" localSheetId="2" hidden="1">Portance_profonde!$B$42</definedName>
    <definedName name="solver_cvg" localSheetId="3" hidden="1">0.0001</definedName>
    <definedName name="solver_cvg" localSheetId="2" hidden="1">0.0001</definedName>
    <definedName name="solver_drv" localSheetId="3" hidden="1">1</definedName>
    <definedName name="solver_drv" localSheetId="2" hidden="1">1</definedName>
    <definedName name="solver_eng" localSheetId="3" hidden="1">1</definedName>
    <definedName name="solver_eng" localSheetId="2" hidden="1">1</definedName>
    <definedName name="solver_est" localSheetId="3" hidden="1">1</definedName>
    <definedName name="solver_est" localSheetId="2" hidden="1">1</definedName>
    <definedName name="solver_itr" localSheetId="3" hidden="1">2147483647</definedName>
    <definedName name="solver_itr" localSheetId="2" hidden="1">2147483647</definedName>
    <definedName name="solver_mip" localSheetId="3" hidden="1">2147483647</definedName>
    <definedName name="solver_mip" localSheetId="2" hidden="1">2147483647</definedName>
    <definedName name="solver_mni" localSheetId="3" hidden="1">30</definedName>
    <definedName name="solver_mni" localSheetId="2" hidden="1">30</definedName>
    <definedName name="solver_mrt" localSheetId="3" hidden="1">0.075</definedName>
    <definedName name="solver_mrt" localSheetId="2" hidden="1">0.075</definedName>
    <definedName name="solver_msl" localSheetId="3" hidden="1">2</definedName>
    <definedName name="solver_msl" localSheetId="2" hidden="1">2</definedName>
    <definedName name="solver_neg" localSheetId="3" hidden="1">1</definedName>
    <definedName name="solver_neg" localSheetId="2" hidden="1">2</definedName>
    <definedName name="solver_nod" localSheetId="3" hidden="1">2147483647</definedName>
    <definedName name="solver_nod" localSheetId="2" hidden="1">2147483647</definedName>
    <definedName name="solver_num" localSheetId="3" hidden="1">0</definedName>
    <definedName name="solver_num" localSheetId="2" hidden="1">0</definedName>
    <definedName name="solver_nwt" localSheetId="3" hidden="1">1</definedName>
    <definedName name="solver_nwt" localSheetId="2" hidden="1">1</definedName>
    <definedName name="solver_opt" localSheetId="3" hidden="1">Portance_inclusion!$B$41</definedName>
    <definedName name="solver_opt" localSheetId="2" hidden="1">Portance_profonde!$B$43</definedName>
    <definedName name="solver_pre" localSheetId="3" hidden="1">0.000001</definedName>
    <definedName name="solver_pre" localSheetId="2" hidden="1">0.000001</definedName>
    <definedName name="solver_rbv" localSheetId="3" hidden="1">1</definedName>
    <definedName name="solver_rbv" localSheetId="2" hidden="1">1</definedName>
    <definedName name="solver_rlx" localSheetId="3" hidden="1">2</definedName>
    <definedName name="solver_rlx" localSheetId="2" hidden="1">2</definedName>
    <definedName name="solver_rsd" localSheetId="3" hidden="1">0</definedName>
    <definedName name="solver_rsd" localSheetId="2" hidden="1">0</definedName>
    <definedName name="solver_scl" localSheetId="3" hidden="1">1</definedName>
    <definedName name="solver_scl" localSheetId="2" hidden="1">1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ssz" localSheetId="2" hidden="1">100</definedName>
    <definedName name="solver_tim" localSheetId="3" hidden="1">2147483647</definedName>
    <definedName name="solver_tim" localSheetId="2" hidden="1">2147483647</definedName>
    <definedName name="solver_tol" localSheetId="3" hidden="1">0.01</definedName>
    <definedName name="solver_tol" localSheetId="2" hidden="1">0.01</definedName>
    <definedName name="solver_typ" localSheetId="3" hidden="1">3</definedName>
    <definedName name="solver_typ" localSheetId="2" hidden="1">3</definedName>
    <definedName name="solver_val" localSheetId="3" hidden="1">0</definedName>
    <definedName name="solver_val" localSheetId="2" hidden="1">0</definedName>
    <definedName name="solver_ver" localSheetId="3" hidden="1">3</definedName>
    <definedName name="solver_ver" localSheetId="2" hidden="1">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8" i="2" l="1"/>
  <c r="E10" i="2"/>
  <c r="E11" i="2"/>
  <c r="C27" i="2"/>
  <c r="E12" i="2"/>
  <c r="E13" i="2"/>
  <c r="C29" i="2"/>
  <c r="G36" i="2"/>
  <c r="F10" i="2"/>
  <c r="F11" i="2"/>
  <c r="D27" i="2"/>
  <c r="F12" i="2"/>
  <c r="F13" i="2"/>
  <c r="D29" i="2"/>
  <c r="H36" i="2"/>
  <c r="G10" i="2"/>
  <c r="G11" i="2"/>
  <c r="E27" i="2"/>
  <c r="G12" i="2"/>
  <c r="G13" i="2"/>
  <c r="E29" i="2"/>
  <c r="I36" i="2"/>
  <c r="H10" i="2"/>
  <c r="H11" i="2"/>
  <c r="F27" i="2"/>
  <c r="H12" i="2"/>
  <c r="H13" i="2"/>
  <c r="F29" i="2"/>
  <c r="J36" i="2"/>
  <c r="G28" i="2"/>
  <c r="I10" i="2"/>
  <c r="I11" i="2"/>
  <c r="G27" i="2"/>
  <c r="I12" i="2"/>
  <c r="I13" i="2"/>
  <c r="G29" i="2"/>
  <c r="K36" i="2"/>
  <c r="G37" i="2"/>
  <c r="H37" i="2"/>
  <c r="I37" i="2"/>
  <c r="J37" i="2"/>
  <c r="K37" i="2"/>
  <c r="G38" i="2"/>
  <c r="H38" i="2"/>
  <c r="I38" i="2"/>
  <c r="J38" i="2"/>
  <c r="K38" i="2"/>
  <c r="G39" i="2"/>
  <c r="H39" i="2"/>
  <c r="I39" i="2"/>
  <c r="J39" i="2"/>
  <c r="K39" i="2"/>
  <c r="G40" i="2"/>
  <c r="H40" i="2"/>
  <c r="I40" i="2"/>
  <c r="J40" i="2"/>
  <c r="K40" i="2"/>
  <c r="G41" i="2"/>
  <c r="H41" i="2"/>
  <c r="I41" i="2"/>
  <c r="J41" i="2"/>
  <c r="K41" i="2"/>
  <c r="G42" i="2"/>
  <c r="H42" i="2"/>
  <c r="I42" i="2"/>
  <c r="J42" i="2"/>
  <c r="K42" i="2"/>
  <c r="G43" i="2"/>
  <c r="H43" i="2"/>
  <c r="I43" i="2"/>
  <c r="J43" i="2"/>
  <c r="K43" i="2"/>
  <c r="G44" i="2"/>
  <c r="H44" i="2"/>
  <c r="I44" i="2"/>
  <c r="J44" i="2"/>
  <c r="K44" i="2"/>
  <c r="G45" i="2"/>
  <c r="H45" i="2"/>
  <c r="I45" i="2"/>
  <c r="J45" i="2"/>
  <c r="K45" i="2"/>
  <c r="G46" i="2"/>
  <c r="H46" i="2"/>
  <c r="I46" i="2"/>
  <c r="J46" i="2"/>
  <c r="K46" i="2"/>
  <c r="G47" i="2"/>
  <c r="H47" i="2"/>
  <c r="I47" i="2"/>
  <c r="J47" i="2"/>
  <c r="K47" i="2"/>
  <c r="G48" i="2"/>
  <c r="H48" i="2"/>
  <c r="I48" i="2"/>
  <c r="J48" i="2"/>
  <c r="K48" i="2"/>
  <c r="G49" i="2"/>
  <c r="H49" i="2"/>
  <c r="I49" i="2"/>
  <c r="J49" i="2"/>
  <c r="K49" i="2"/>
  <c r="G50" i="2"/>
  <c r="H50" i="2"/>
  <c r="I50" i="2"/>
  <c r="J50" i="2"/>
  <c r="K50" i="2"/>
  <c r="G51" i="2"/>
  <c r="H51" i="2"/>
  <c r="I51" i="2"/>
  <c r="J51" i="2"/>
  <c r="K51" i="2"/>
  <c r="G52" i="2"/>
  <c r="H52" i="2"/>
  <c r="I52" i="2"/>
  <c r="J52" i="2"/>
  <c r="K52" i="2"/>
  <c r="G53" i="2"/>
  <c r="H53" i="2"/>
  <c r="I53" i="2"/>
  <c r="J53" i="2"/>
  <c r="K53" i="2"/>
  <c r="G54" i="2"/>
  <c r="H54" i="2"/>
  <c r="I54" i="2"/>
  <c r="J54" i="2"/>
  <c r="K54" i="2"/>
  <c r="G55" i="2"/>
  <c r="H55" i="2"/>
  <c r="I55" i="2"/>
  <c r="J55" i="2"/>
  <c r="K55" i="2"/>
  <c r="G56" i="2"/>
  <c r="H56" i="2"/>
  <c r="I56" i="2"/>
  <c r="J56" i="2"/>
  <c r="K56" i="2"/>
  <c r="G57" i="2"/>
  <c r="H57" i="2"/>
  <c r="I57" i="2"/>
  <c r="J57" i="2"/>
  <c r="K57" i="2"/>
  <c r="G58" i="2"/>
  <c r="H58" i="2"/>
  <c r="I58" i="2"/>
  <c r="J58" i="2"/>
  <c r="K58" i="2"/>
  <c r="G59" i="2"/>
  <c r="H59" i="2"/>
  <c r="I59" i="2"/>
  <c r="J59" i="2"/>
  <c r="K59" i="2"/>
  <c r="D10" i="2"/>
  <c r="D11" i="2"/>
  <c r="C20" i="2"/>
  <c r="I20" i="2"/>
  <c r="D12" i="2"/>
  <c r="C21" i="2"/>
  <c r="I21" i="2"/>
  <c r="K20" i="2"/>
  <c r="K21" i="2"/>
  <c r="L21" i="2"/>
  <c r="B28" i="2"/>
  <c r="B27" i="2"/>
  <c r="D13" i="2"/>
  <c r="C22" i="2"/>
  <c r="B29" i="2"/>
  <c r="F59" i="2"/>
  <c r="F54" i="2"/>
  <c r="F55" i="2"/>
  <c r="F56" i="2"/>
  <c r="F57" i="2"/>
  <c r="F58" i="2"/>
  <c r="F53" i="2"/>
  <c r="F48" i="2"/>
  <c r="F49" i="2"/>
  <c r="F50" i="2"/>
  <c r="F51" i="2"/>
  <c r="F52" i="2"/>
  <c r="F47" i="2"/>
  <c r="F46" i="2"/>
  <c r="F44" i="2"/>
  <c r="F45" i="2"/>
  <c r="F43" i="2"/>
  <c r="F37" i="2"/>
  <c r="F38" i="2"/>
  <c r="F39" i="2"/>
  <c r="F40" i="2"/>
  <c r="F41" i="2"/>
  <c r="F42" i="2"/>
  <c r="F36" i="2"/>
  <c r="K82" i="1"/>
  <c r="G68" i="1"/>
  <c r="H68" i="1"/>
  <c r="I68" i="1"/>
  <c r="J68" i="1"/>
  <c r="K68" i="1"/>
  <c r="G69" i="1"/>
  <c r="H69" i="1"/>
  <c r="I69" i="1"/>
  <c r="J69" i="1"/>
  <c r="K69" i="1"/>
  <c r="G70" i="1"/>
  <c r="H70" i="1"/>
  <c r="I70" i="1"/>
  <c r="J70" i="1"/>
  <c r="K70" i="1"/>
  <c r="G71" i="1"/>
  <c r="H71" i="1"/>
  <c r="I71" i="1"/>
  <c r="J71" i="1"/>
  <c r="K71" i="1"/>
  <c r="G72" i="1"/>
  <c r="H72" i="1"/>
  <c r="I72" i="1"/>
  <c r="J72" i="1"/>
  <c r="K72" i="1"/>
  <c r="G73" i="1"/>
  <c r="H73" i="1"/>
  <c r="I73" i="1"/>
  <c r="J73" i="1"/>
  <c r="K73" i="1"/>
  <c r="G74" i="1"/>
  <c r="H74" i="1"/>
  <c r="I74" i="1"/>
  <c r="J74" i="1"/>
  <c r="K74" i="1"/>
  <c r="G75" i="1"/>
  <c r="H75" i="1"/>
  <c r="I75" i="1"/>
  <c r="J75" i="1"/>
  <c r="K75" i="1"/>
  <c r="G76" i="1"/>
  <c r="H76" i="1"/>
  <c r="I76" i="1"/>
  <c r="J76" i="1"/>
  <c r="K76" i="1"/>
  <c r="G77" i="1"/>
  <c r="H77" i="1"/>
  <c r="I77" i="1"/>
  <c r="J77" i="1"/>
  <c r="K77" i="1"/>
  <c r="G78" i="1"/>
  <c r="H78" i="1"/>
  <c r="I78" i="1"/>
  <c r="J78" i="1"/>
  <c r="K78" i="1"/>
  <c r="G79" i="1"/>
  <c r="H79" i="1"/>
  <c r="I79" i="1"/>
  <c r="J79" i="1"/>
  <c r="K79" i="1"/>
  <c r="G80" i="1"/>
  <c r="H80" i="1"/>
  <c r="I80" i="1"/>
  <c r="J80" i="1"/>
  <c r="K80" i="1"/>
  <c r="G81" i="1"/>
  <c r="H81" i="1"/>
  <c r="I81" i="1"/>
  <c r="J81" i="1"/>
  <c r="K81" i="1"/>
  <c r="G82" i="1"/>
  <c r="H82" i="1"/>
  <c r="I82" i="1"/>
  <c r="J82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68" i="1"/>
  <c r="E22" i="1"/>
  <c r="D12" i="1"/>
  <c r="D13" i="1"/>
  <c r="C22" i="1"/>
  <c r="B33" i="1"/>
  <c r="E48" i="1"/>
  <c r="E69" i="1"/>
  <c r="E49" i="1"/>
  <c r="E70" i="1"/>
  <c r="E50" i="1"/>
  <c r="E71" i="1"/>
  <c r="E51" i="1"/>
  <c r="E72" i="1"/>
  <c r="E52" i="1"/>
  <c r="E73" i="1"/>
  <c r="E53" i="1"/>
  <c r="E74" i="1"/>
  <c r="E54" i="1"/>
  <c r="E75" i="1"/>
  <c r="E55" i="1"/>
  <c r="E76" i="1"/>
  <c r="E56" i="1"/>
  <c r="E77" i="1"/>
  <c r="E57" i="1"/>
  <c r="E78" i="1"/>
  <c r="E58" i="1"/>
  <c r="E79" i="1"/>
  <c r="E59" i="1"/>
  <c r="E80" i="1"/>
  <c r="E60" i="1"/>
  <c r="E81" i="1"/>
  <c r="E61" i="1"/>
  <c r="E82" i="1"/>
  <c r="E47" i="1"/>
  <c r="E68" i="1"/>
  <c r="E37" i="1"/>
  <c r="D11" i="1"/>
  <c r="C21" i="1"/>
  <c r="I21" i="1"/>
  <c r="I22" i="1"/>
  <c r="K21" i="1"/>
  <c r="K22" i="1"/>
  <c r="L22" i="1"/>
  <c r="D9" i="1"/>
  <c r="B27" i="1"/>
  <c r="B29" i="1"/>
  <c r="F62" i="1"/>
  <c r="C29" i="1"/>
  <c r="G62" i="1"/>
  <c r="H62" i="1"/>
  <c r="I62" i="1"/>
  <c r="J62" i="1"/>
  <c r="K62" i="1"/>
  <c r="C10" i="1"/>
  <c r="D10" i="1"/>
  <c r="E11" i="1"/>
  <c r="E9" i="1"/>
  <c r="E10" i="1"/>
  <c r="F11" i="1"/>
  <c r="F9" i="1"/>
  <c r="F10" i="1"/>
  <c r="G11" i="1"/>
  <c r="G9" i="1"/>
  <c r="G10" i="1"/>
  <c r="H11" i="1"/>
  <c r="H9" i="1"/>
  <c r="H10" i="1"/>
  <c r="I11" i="1"/>
  <c r="I9" i="1"/>
  <c r="I10" i="1"/>
  <c r="B10" i="1"/>
  <c r="B3" i="5"/>
  <c r="B30" i="4"/>
  <c r="B41" i="4"/>
  <c r="B6" i="4"/>
  <c r="B6" i="3"/>
  <c r="B44" i="4"/>
  <c r="B45" i="4"/>
  <c r="C44" i="4"/>
  <c r="C12" i="4"/>
  <c r="D15" i="4"/>
  <c r="B18" i="4"/>
  <c r="B19" i="4"/>
  <c r="C29" i="4"/>
  <c r="F29" i="4"/>
  <c r="C30" i="4"/>
  <c r="B4" i="4"/>
  <c r="C5" i="4"/>
  <c r="C4" i="4"/>
  <c r="F30" i="4"/>
  <c r="F31" i="4"/>
  <c r="B32" i="3"/>
  <c r="C32" i="3"/>
  <c r="F32" i="3"/>
  <c r="C29" i="3"/>
  <c r="F29" i="3"/>
  <c r="C30" i="3"/>
  <c r="F30" i="3"/>
  <c r="C31" i="3"/>
  <c r="F31" i="3"/>
  <c r="F33" i="3"/>
  <c r="C12" i="3"/>
  <c r="B18" i="3"/>
  <c r="B19" i="3"/>
  <c r="B43" i="3"/>
  <c r="B4" i="3"/>
  <c r="D15" i="3"/>
  <c r="I9" i="2"/>
  <c r="H9" i="2"/>
  <c r="G9" i="2"/>
  <c r="F9" i="2"/>
  <c r="E9" i="2"/>
  <c r="D9" i="2"/>
  <c r="E21" i="2"/>
  <c r="B32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L20" i="2"/>
  <c r="C19" i="2"/>
  <c r="D14" i="1"/>
  <c r="C23" i="1"/>
  <c r="B30" i="1"/>
  <c r="B28" i="1"/>
  <c r="F38" i="1"/>
  <c r="C27" i="1"/>
  <c r="E13" i="1"/>
  <c r="E14" i="1"/>
  <c r="C30" i="1"/>
  <c r="E12" i="1"/>
  <c r="C28" i="1"/>
  <c r="G38" i="1"/>
  <c r="D27" i="1"/>
  <c r="F13" i="1"/>
  <c r="F14" i="1"/>
  <c r="D30" i="1"/>
  <c r="F12" i="1"/>
  <c r="D28" i="1"/>
  <c r="H38" i="1"/>
  <c r="E27" i="1"/>
  <c r="G13" i="1"/>
  <c r="G14" i="1"/>
  <c r="E30" i="1"/>
  <c r="G12" i="1"/>
  <c r="E28" i="1"/>
  <c r="I38" i="1"/>
  <c r="F27" i="1"/>
  <c r="H13" i="1"/>
  <c r="H14" i="1"/>
  <c r="F30" i="1"/>
  <c r="H12" i="1"/>
  <c r="F28" i="1"/>
  <c r="J38" i="1"/>
  <c r="G27" i="1"/>
  <c r="I13" i="1"/>
  <c r="I14" i="1"/>
  <c r="G30" i="1"/>
  <c r="I12" i="1"/>
  <c r="G2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G37" i="1"/>
  <c r="H37" i="1"/>
  <c r="I37" i="1"/>
  <c r="J37" i="1"/>
  <c r="K37" i="1"/>
  <c r="F37" i="1"/>
  <c r="E38" i="1"/>
  <c r="E39" i="1"/>
  <c r="E40" i="1"/>
  <c r="E41" i="1"/>
  <c r="E42" i="1"/>
  <c r="E43" i="1"/>
  <c r="E44" i="1"/>
  <c r="E45" i="1"/>
  <c r="E46" i="1"/>
  <c r="L21" i="1"/>
  <c r="C20" i="1"/>
  <c r="E11" i="6"/>
  <c r="F11" i="6"/>
  <c r="G11" i="6"/>
  <c r="H11" i="6"/>
  <c r="C11" i="6"/>
  <c r="D11" i="6"/>
</calcChain>
</file>

<file path=xl/sharedStrings.xml><?xml version="1.0" encoding="utf-8"?>
<sst xmlns="http://schemas.openxmlformats.org/spreadsheetml/2006/main" count="219" uniqueCount="101">
  <si>
    <t>Calcul du tassement du remblai</t>
  </si>
  <si>
    <t>Coupe est</t>
  </si>
  <si>
    <t>Coupe ouest</t>
  </si>
  <si>
    <t>x</t>
  </si>
  <si>
    <t>Epaisseur du remblai de la plateforme</t>
  </si>
  <si>
    <t>haut du remblai</t>
  </si>
  <si>
    <t>haut des alluvions argilo-vasardes</t>
  </si>
  <si>
    <t>haut des alluvions sableuses</t>
  </si>
  <si>
    <t>haut du calcaire</t>
  </si>
  <si>
    <t>Point</t>
  </si>
  <si>
    <t>Caractéristiques des couches</t>
  </si>
  <si>
    <t>remblai de la plateforme</t>
  </si>
  <si>
    <t>gamma</t>
  </si>
  <si>
    <t>Module E_M(kPa)</t>
  </si>
  <si>
    <t>remblai</t>
  </si>
  <si>
    <t>argiles</t>
  </si>
  <si>
    <t>sables</t>
  </si>
  <si>
    <t>hauteur pour le point considéré</t>
  </si>
  <si>
    <t>c_v</t>
  </si>
  <si>
    <t>c_c/1+e_0</t>
  </si>
  <si>
    <t>c_s/1+e_0</t>
  </si>
  <si>
    <t>sigma_p-sigma_v0</t>
  </si>
  <si>
    <t>deltasigma</t>
  </si>
  <si>
    <t>tassement du remblai</t>
  </si>
  <si>
    <t>tassement de l'argile</t>
  </si>
  <si>
    <t>précison du calcul</t>
  </si>
  <si>
    <t>au bout de la couche</t>
  </si>
  <si>
    <t>sigma_v0 (kPa)</t>
  </si>
  <si>
    <t>milieu de la couche</t>
  </si>
  <si>
    <t>u</t>
  </si>
  <si>
    <t>sigma'</t>
  </si>
  <si>
    <t>tassement du sable</t>
  </si>
  <si>
    <t>Passage de t à T_v</t>
  </si>
  <si>
    <t>tassement infini des couches</t>
  </si>
  <si>
    <t>U</t>
  </si>
  <si>
    <t>T_v</t>
  </si>
  <si>
    <t>t</t>
  </si>
  <si>
    <t>Point 1</t>
  </si>
  <si>
    <t>Point 2</t>
  </si>
  <si>
    <t>Point 3</t>
  </si>
  <si>
    <t>Point 5</t>
  </si>
  <si>
    <t>Point 6</t>
  </si>
  <si>
    <t>Tassement 1(t)</t>
  </si>
  <si>
    <t>Tassement 2 (t)</t>
  </si>
  <si>
    <t>Tassement 3 (t)</t>
  </si>
  <si>
    <t>Tassement 4(t)</t>
  </si>
  <si>
    <t>Tassement 5(t)</t>
  </si>
  <si>
    <t>Tassement 6(t)</t>
  </si>
  <si>
    <t>Point 4</t>
  </si>
  <si>
    <t>Calculs intermédiaires</t>
  </si>
  <si>
    <t>Tassement différentiel à 6 mois</t>
  </si>
  <si>
    <t>Calcul pour les foncations profondes</t>
  </si>
  <si>
    <t>Longueur</t>
  </si>
  <si>
    <t>Largeur</t>
  </si>
  <si>
    <t>Nombre de pieux</t>
  </si>
  <si>
    <t>Calcul de la résistance de pointe R_c</t>
  </si>
  <si>
    <t>Calcul de A_b</t>
  </si>
  <si>
    <t>(sans intéraction)</t>
  </si>
  <si>
    <t>rayon (m)</t>
  </si>
  <si>
    <t>Aire</t>
  </si>
  <si>
    <t>Calcul de q_b</t>
  </si>
  <si>
    <t>k_p (roche altérée, pieu battu)</t>
  </si>
  <si>
    <t>P*LE(kPa)</t>
  </si>
  <si>
    <t>q_b (kPa)</t>
  </si>
  <si>
    <t>Calcul de R_c_ind</t>
  </si>
  <si>
    <t>Dimension</t>
  </si>
  <si>
    <t>Calcul de la résistance par frottement axial</t>
  </si>
  <si>
    <t>Calcul au point moyen x= 24m</t>
  </si>
  <si>
    <t>périmètre p_i</t>
  </si>
  <si>
    <t>hauteur de la couche h_i</t>
  </si>
  <si>
    <t>f_sol</t>
  </si>
  <si>
    <t>Effort à reprendre (kN)</t>
  </si>
  <si>
    <t>Calcul de R_c_tot (kN)</t>
  </si>
  <si>
    <t>alpha</t>
  </si>
  <si>
    <t xml:space="preserve">Coeffcient de sécurité </t>
  </si>
  <si>
    <t>f(x)</t>
  </si>
  <si>
    <t>calcaire altéré</t>
  </si>
  <si>
    <t>R_s_i</t>
  </si>
  <si>
    <t>Calcul de la portance pour les inclusions rigides</t>
  </si>
  <si>
    <t>k_p (argile, inclusion battue)</t>
  </si>
  <si>
    <t xml:space="preserve">  </t>
  </si>
  <si>
    <t>Haut de la plateforme</t>
  </si>
  <si>
    <t>Point4</t>
  </si>
  <si>
    <t>Tassement infini des couches</t>
  </si>
  <si>
    <t>Point 1 (x=0)</t>
  </si>
  <si>
    <t>Point 2 (x=20)</t>
  </si>
  <si>
    <t>Point 3 (x=40)</t>
  </si>
  <si>
    <t>Point 4 (x=50)</t>
  </si>
  <si>
    <t>Point 5 (x=85)</t>
  </si>
  <si>
    <t>Point 6 (x=120)</t>
  </si>
  <si>
    <t>deltasigma (kPa)</t>
  </si>
  <si>
    <t>Tassement total au bout de 6 mois (m)</t>
  </si>
  <si>
    <t>Tassement du remblai (m)</t>
  </si>
  <si>
    <t>Tassement des alluvions argilo-vasardes (m)</t>
  </si>
  <si>
    <t>Tassement des alluvions sableuses (m)</t>
  </si>
  <si>
    <t>Point 1 (x=0m)</t>
  </si>
  <si>
    <t>Point 2 (x=20m)</t>
  </si>
  <si>
    <t>Point 3 (x=40m)</t>
  </si>
  <si>
    <t>Point 4 (x=50m)</t>
  </si>
  <si>
    <t>Point 5 (x=85m)</t>
  </si>
  <si>
    <t>Point 6 (x=120m)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</si>
</sst>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</borders>
  <cellStyleXfs count="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9">
    <xf numFmtId="0" fontId="0" fillId="0" borderId="0" xfId="0"/>
    <xf numFmtId="2" fontId="0" fillId="0" borderId="0" xfId="0" applyNumberFormat="1" applyAlignment="1">
      <alignment wrapText="1"/>
    </xf>
    <xf numFmtId="2" fontId="1" fillId="0" borderId="0" xfId="0" applyNumberFormat="1" applyFont="1" applyAlignment="1">
      <alignment horizontal="center" vertical="center" wrapText="1"/>
    </xf>
    <xf numFmtId="2" fontId="0" fillId="0" borderId="0" xfId="0" applyNumberFormat="1" applyFont="1" applyAlignment="1">
      <alignment horizontal="center" vertical="center" wrapText="1"/>
    </xf>
    <xf numFmtId="11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0" fillId="3" borderId="1" xfId="0" applyNumberFormat="1" applyFill="1" applyBorder="1" applyAlignment="1">
      <alignment wrapText="1"/>
    </xf>
    <xf numFmtId="2" fontId="0" fillId="0" borderId="4" xfId="0" applyNumberFormat="1" applyBorder="1" applyAlignment="1">
      <alignment wrapText="1"/>
    </xf>
    <xf numFmtId="2" fontId="0" fillId="0" borderId="6" xfId="0" applyNumberFormat="1" applyBorder="1" applyAlignment="1">
      <alignment wrapText="1"/>
    </xf>
    <xf numFmtId="2" fontId="0" fillId="0" borderId="8" xfId="0" applyNumberFormat="1" applyBorder="1" applyAlignment="1">
      <alignment wrapText="1"/>
    </xf>
    <xf numFmtId="2" fontId="0" fillId="3" borderId="8" xfId="0" applyNumberFormat="1" applyFill="1" applyBorder="1" applyAlignment="1">
      <alignment wrapText="1"/>
    </xf>
    <xf numFmtId="2" fontId="0" fillId="0" borderId="9" xfId="0" applyNumberFormat="1" applyBorder="1" applyAlignment="1">
      <alignment wrapText="1"/>
    </xf>
    <xf numFmtId="11" fontId="0" fillId="0" borderId="1" xfId="0" applyNumberFormat="1" applyBorder="1" applyAlignment="1">
      <alignment wrapText="1"/>
    </xf>
    <xf numFmtId="11" fontId="0" fillId="0" borderId="8" xfId="0" applyNumberFormat="1" applyBorder="1" applyAlignment="1">
      <alignment wrapText="1"/>
    </xf>
    <xf numFmtId="2" fontId="1" fillId="0" borderId="2" xfId="0" applyNumberFormat="1" applyFont="1" applyBorder="1" applyAlignment="1">
      <alignment wrapText="1"/>
    </xf>
    <xf numFmtId="2" fontId="1" fillId="0" borderId="5" xfId="0" applyNumberFormat="1" applyFont="1" applyBorder="1" applyAlignment="1">
      <alignment wrapText="1"/>
    </xf>
    <xf numFmtId="2" fontId="1" fillId="0" borderId="7" xfId="0" applyNumberFormat="1" applyFont="1" applyBorder="1" applyAlignment="1">
      <alignment wrapText="1"/>
    </xf>
    <xf numFmtId="2" fontId="1" fillId="0" borderId="3" xfId="0" applyNumberFormat="1" applyFont="1" applyBorder="1" applyAlignment="1">
      <alignment wrapText="1"/>
    </xf>
    <xf numFmtId="2" fontId="1" fillId="3" borderId="3" xfId="0" applyNumberFormat="1" applyFont="1" applyFill="1" applyBorder="1" applyAlignment="1">
      <alignment wrapText="1"/>
    </xf>
    <xf numFmtId="2" fontId="1" fillId="0" borderId="4" xfId="0" applyNumberFormat="1" applyFont="1" applyBorder="1" applyAlignment="1">
      <alignment wrapText="1"/>
    </xf>
    <xf numFmtId="2" fontId="1" fillId="0" borderId="10" xfId="0" applyNumberFormat="1" applyFont="1" applyBorder="1" applyAlignment="1">
      <alignment wrapText="1"/>
    </xf>
    <xf numFmtId="2" fontId="1" fillId="0" borderId="11" xfId="0" applyNumberFormat="1" applyFont="1" applyBorder="1" applyAlignment="1">
      <alignment wrapText="1"/>
    </xf>
    <xf numFmtId="2" fontId="1" fillId="0" borderId="12" xfId="0" applyNumberFormat="1" applyFont="1" applyBorder="1" applyAlignment="1">
      <alignment wrapText="1"/>
    </xf>
    <xf numFmtId="2" fontId="5" fillId="0" borderId="2" xfId="0" applyNumberFormat="1" applyFont="1" applyBorder="1" applyAlignment="1">
      <alignment wrapText="1"/>
    </xf>
    <xf numFmtId="2" fontId="0" fillId="0" borderId="11" xfId="0" applyNumberFormat="1" applyBorder="1" applyAlignment="1">
      <alignment wrapText="1"/>
    </xf>
    <xf numFmtId="2" fontId="0" fillId="0" borderId="20" xfId="0" applyNumberFormat="1" applyBorder="1" applyAlignment="1">
      <alignment wrapText="1"/>
    </xf>
    <xf numFmtId="11" fontId="0" fillId="0" borderId="21" xfId="0" applyNumberFormat="1" applyBorder="1" applyAlignment="1">
      <alignment wrapText="1"/>
    </xf>
    <xf numFmtId="2" fontId="0" fillId="0" borderId="21" xfId="0" applyNumberFormat="1" applyBorder="1" applyAlignment="1">
      <alignment wrapText="1"/>
    </xf>
    <xf numFmtId="0" fontId="6" fillId="0" borderId="18" xfId="0" applyFont="1" applyBorder="1"/>
    <xf numFmtId="0" fontId="6" fillId="0" borderId="11" xfId="0" applyFont="1" applyBorder="1"/>
    <xf numFmtId="2" fontId="7" fillId="0" borderId="11" xfId="0" applyNumberFormat="1" applyFont="1" applyBorder="1" applyAlignment="1">
      <alignment wrapText="1"/>
    </xf>
    <xf numFmtId="2" fontId="7" fillId="0" borderId="19" xfId="0" applyNumberFormat="1" applyFont="1" applyBorder="1" applyAlignment="1">
      <alignment wrapText="1"/>
    </xf>
    <xf numFmtId="2" fontId="1" fillId="3" borderId="5" xfId="0" applyNumberFormat="1" applyFont="1" applyFill="1" applyBorder="1" applyAlignment="1">
      <alignment wrapText="1"/>
    </xf>
    <xf numFmtId="11" fontId="0" fillId="3" borderId="1" xfId="0" applyNumberFormat="1" applyFill="1" applyBorder="1" applyAlignment="1">
      <alignment wrapText="1"/>
    </xf>
    <xf numFmtId="2" fontId="0" fillId="3" borderId="6" xfId="0" applyNumberFormat="1" applyFill="1" applyBorder="1" applyAlignment="1">
      <alignment wrapText="1"/>
    </xf>
    <xf numFmtId="164" fontId="5" fillId="0" borderId="2" xfId="0" applyNumberFormat="1" applyFont="1" applyBorder="1" applyAlignment="1">
      <alignment wrapText="1"/>
    </xf>
    <xf numFmtId="164" fontId="1" fillId="0" borderId="3" xfId="0" applyNumberFormat="1" applyFont="1" applyBorder="1" applyAlignment="1">
      <alignment wrapText="1"/>
    </xf>
    <xf numFmtId="164" fontId="0" fillId="0" borderId="4" xfId="0" applyNumberFormat="1" applyBorder="1" applyAlignment="1">
      <alignment wrapText="1"/>
    </xf>
    <xf numFmtId="164" fontId="1" fillId="0" borderId="5" xfId="0" applyNumberFormat="1" applyFont="1" applyBorder="1" applyAlignment="1">
      <alignment wrapText="1"/>
    </xf>
    <xf numFmtId="164" fontId="0" fillId="0" borderId="1" xfId="0" applyNumberFormat="1" applyBorder="1" applyAlignment="1">
      <alignment wrapText="1"/>
    </xf>
    <xf numFmtId="164" fontId="0" fillId="0" borderId="6" xfId="0" applyNumberFormat="1" applyBorder="1" applyAlignment="1">
      <alignment wrapText="1"/>
    </xf>
    <xf numFmtId="164" fontId="1" fillId="3" borderId="5" xfId="0" applyNumberFormat="1" applyFont="1" applyFill="1" applyBorder="1" applyAlignment="1">
      <alignment wrapText="1"/>
    </xf>
    <xf numFmtId="164" fontId="0" fillId="3" borderId="1" xfId="0" applyNumberFormat="1" applyFill="1" applyBorder="1" applyAlignment="1">
      <alignment wrapText="1"/>
    </xf>
    <xf numFmtId="164" fontId="0" fillId="3" borderId="6" xfId="0" applyNumberFormat="1" applyFill="1" applyBorder="1" applyAlignment="1">
      <alignment wrapText="1"/>
    </xf>
    <xf numFmtId="164" fontId="1" fillId="0" borderId="7" xfId="0" applyNumberFormat="1" applyFont="1" applyBorder="1" applyAlignment="1">
      <alignment wrapText="1"/>
    </xf>
    <xf numFmtId="164" fontId="0" fillId="0" borderId="8" xfId="0" applyNumberFormat="1" applyBorder="1" applyAlignment="1">
      <alignment wrapText="1"/>
    </xf>
    <xf numFmtId="164" fontId="0" fillId="0" borderId="9" xfId="0" applyNumberFormat="1" applyBorder="1" applyAlignment="1">
      <alignment wrapText="1"/>
    </xf>
    <xf numFmtId="2" fontId="4" fillId="2" borderId="21" xfId="0" applyNumberFormat="1" applyFont="1" applyFill="1" applyBorder="1" applyAlignment="1">
      <alignment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16" fontId="0" fillId="0" borderId="0" xfId="0" applyNumberFormat="1" applyAlignment="1">
      <alignment vertical="center" wrapText="1"/>
    </xf>
    <xf numFmtId="0" fontId="0" fillId="0" borderId="2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2" fontId="0" fillId="0" borderId="1" xfId="0" applyNumberFormat="1" applyFill="1" applyBorder="1" applyAlignment="1">
      <alignment wrapText="1"/>
    </xf>
    <xf numFmtId="0" fontId="1" fillId="0" borderId="0" xfId="0" applyFont="1" applyAlignment="1">
      <alignment horizontal="center" vertical="center" wrapText="1"/>
    </xf>
    <xf numFmtId="2" fontId="1" fillId="0" borderId="30" xfId="0" applyNumberFormat="1" applyFont="1" applyFill="1" applyBorder="1" applyAlignment="1">
      <alignment wrapText="1"/>
    </xf>
    <xf numFmtId="0" fontId="1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2" fontId="1" fillId="0" borderId="0" xfId="0" applyNumberFormat="1" applyFont="1" applyAlignment="1">
      <alignment horizontal="center" vertical="center" wrapText="1"/>
    </xf>
    <xf numFmtId="2" fontId="1" fillId="0" borderId="13" xfId="0" applyNumberFormat="1" applyFont="1" applyBorder="1" applyAlignment="1">
      <alignment horizontal="center" vertical="center" wrapText="1"/>
    </xf>
    <xf numFmtId="2" fontId="1" fillId="0" borderId="14" xfId="0" applyNumberFormat="1" applyFont="1" applyBorder="1" applyAlignment="1">
      <alignment horizontal="center" vertical="center" wrapText="1"/>
    </xf>
    <xf numFmtId="2" fontId="1" fillId="0" borderId="15" xfId="0" applyNumberFormat="1" applyFont="1" applyBorder="1" applyAlignment="1">
      <alignment horizontal="center" vertical="center" wrapText="1"/>
    </xf>
    <xf numFmtId="2" fontId="1" fillId="0" borderId="16" xfId="0" applyNumberFormat="1" applyFont="1" applyBorder="1" applyAlignment="1">
      <alignment horizontal="center" vertical="center" wrapText="1"/>
    </xf>
    <xf numFmtId="2" fontId="1" fillId="0" borderId="17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2" fontId="1" fillId="0" borderId="31" xfId="0" applyNumberFormat="1" applyFont="1" applyFill="1" applyBorder="1" applyAlignment="1">
      <alignment wrapText="1"/>
    </xf>
    <xf numFmtId="0" fontId="0" fillId="0" borderId="23" xfId="0" applyBorder="1" applyAlignment="1">
      <alignment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vertical="center" wrapText="1"/>
    </xf>
    <xf numFmtId="0" fontId="0" fillId="0" borderId="25" xfId="0" applyFill="1" applyBorder="1" applyAlignment="1">
      <alignment vertical="center" wrapText="1"/>
    </xf>
    <xf numFmtId="0" fontId="1" fillId="0" borderId="32" xfId="0" applyFont="1" applyFill="1" applyBorder="1" applyAlignment="1">
      <alignment vertical="center" wrapText="1"/>
    </xf>
    <xf numFmtId="0" fontId="1" fillId="0" borderId="25" xfId="0" applyFont="1" applyFill="1" applyBorder="1" applyAlignment="1">
      <alignment vertical="center" wrapText="1"/>
    </xf>
    <xf numFmtId="0" fontId="1" fillId="0" borderId="5" xfId="0" applyFont="1" applyFill="1" applyBorder="1" applyAlignment="1">
      <alignment vertical="center" wrapText="1"/>
    </xf>
    <xf numFmtId="0" fontId="0" fillId="3" borderId="0" xfId="0" applyFill="1" applyAlignment="1">
      <alignment vertical="center" wrapText="1"/>
    </xf>
    <xf numFmtId="2" fontId="0" fillId="0" borderId="1" xfId="0" applyNumberFormat="1" applyFont="1" applyBorder="1" applyAlignment="1">
      <alignment wrapText="1"/>
    </xf>
    <xf numFmtId="11" fontId="0" fillId="0" borderId="1" xfId="0" applyNumberFormat="1" applyFont="1" applyBorder="1" applyAlignment="1">
      <alignment wrapText="1"/>
    </xf>
    <xf numFmtId="2" fontId="5" fillId="0" borderId="2" xfId="0" applyNumberFormat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6" xfId="0" applyNumberForma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center" vertical="center" wrapText="1"/>
    </xf>
    <xf numFmtId="2" fontId="0" fillId="0" borderId="8" xfId="0" applyNumberFormat="1" applyBorder="1" applyAlignment="1">
      <alignment horizontal="center" vertical="center" wrapText="1"/>
    </xf>
    <xf numFmtId="2" fontId="0" fillId="0" borderId="9" xfId="0" applyNumberForma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2" fontId="1" fillId="0" borderId="5" xfId="0" applyNumberFormat="1" applyFont="1" applyFill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 vertical="center" wrapText="1"/>
    </xf>
    <xf numFmtId="2" fontId="0" fillId="0" borderId="6" xfId="0" applyNumberFormat="1" applyFill="1" applyBorder="1" applyAlignment="1">
      <alignment horizontal="center" vertical="center" wrapText="1"/>
    </xf>
  </cellXfs>
  <cellStyles count="3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Normal" xfId="0" builtinId="0"/>
  </cellStyles>
  <dxfs count="37">
    <dxf>
      <numFmt numFmtId="2" formatCode="0.0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numFmt numFmtId="2" formatCode="0.00"/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2" formatCode="0.00"/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2" formatCode="0.00"/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2" formatCode="0.00"/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2" formatCode="0.00"/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2" formatCode="0.00"/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5" formatCode="0.00E+00"/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2" formatCode="0.00"/>
      <fill>
        <patternFill patternType="solid">
          <fgColor rgb="FFD9D9D9"/>
          <bgColor rgb="FFD9D9D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2" formatCode="0.00"/>
      <fill>
        <patternFill patternType="solid">
          <fgColor rgb="FFD9D9D9"/>
          <bgColor rgb="FFD9D9D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2" formatCode="0.00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auto="1"/>
        </top>
        <bottom style="thin">
          <color auto="1"/>
        </bottom>
      </border>
    </dxf>
    <dxf>
      <numFmt numFmtId="2" formatCode="0.00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numFmt numFmtId="2" formatCode="0.00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numFmt numFmtId="2" formatCode="0.00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numFmt numFmtId="2" formatCode="0.00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numFmt numFmtId="15" formatCode="0.00E+0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2" formatCode="0.00"/>
      <fill>
        <patternFill patternType="solid">
          <fgColor rgb="FFD9D9D9"/>
          <bgColor rgb="FFD9D9D9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2" formatCode="0.00"/>
      <fill>
        <patternFill patternType="solid">
          <fgColor rgb="FFD9D9D9"/>
          <bgColor rgb="FFD9D9D9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top style="thin">
          <color auto="1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justifyLastLine="0" shrinkToFit="0" readingOrder="0"/>
    </dxf>
    <dxf>
      <border>
        <bottom style="thin">
          <color auto="1"/>
        </bottom>
      </border>
    </dxf>
    <dxf>
      <numFmt numFmtId="2" formatCode="0.0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auto="1"/>
        </horizontal>
      </border>
    </dxf>
    <dxf>
      <numFmt numFmtId="2" formatCode="0.0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numFmt numFmtId="2" formatCode="0.0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numFmt numFmtId="2" formatCode="0.0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numFmt numFmtId="2" formatCode="0.0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numFmt numFmtId="2" formatCode="0.0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numFmt numFmtId="2" formatCode="0.0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numFmt numFmtId="15" formatCode="0.00E+0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2" formatCode="0.00"/>
      <fill>
        <patternFill patternType="solid">
          <fgColor rgb="FFD9D9D9"/>
          <bgColor rgb="FFD9D9D9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2" formatCode="0.00"/>
      <fill>
        <patternFill patternType="solid">
          <fgColor rgb="FFD9D9D9"/>
          <bgColor rgb="FFD9D9D9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top style="thin">
          <color auto="1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justifyLastLine="0" shrinkToFit="0" readingOrder="0"/>
    </dxf>
    <dxf>
      <border>
        <bottom style="thin">
          <color auto="1"/>
        </bottom>
      </border>
    </dxf>
    <dxf>
      <numFmt numFmtId="2" formatCode="0.0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auto="1"/>
        </horizontal>
      </border>
    </dxf>
  </dxfs>
  <tableStyles count="0" defaultTableStyle="TableStyleMedium9" defaultPivotStyle="PivotStyleMedium4"/>
  <colors>
    <mruColors>
      <color rgb="FF9900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Tassement du sol en fonction du temps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x=0</c:v>
          </c:tx>
          <c:marker>
            <c:symbol val="none"/>
          </c:marker>
          <c:xVal>
            <c:numRef>
              <c:f>Tassement_sans_surchage!$E$37:$E$61</c:f>
              <c:numCache>
                <c:formatCode>0.00E+00</c:formatCode>
                <c:ptCount val="25"/>
                <c:pt idx="0">
                  <c:v>0</c:v>
                </c:pt>
                <c:pt idx="1">
                  <c:v>4.7260802469135816</c:v>
                </c:pt>
                <c:pt idx="2">
                  <c:v>9.4521604938271633</c:v>
                </c:pt>
                <c:pt idx="3">
                  <c:v>18.904320987654327</c:v>
                </c:pt>
                <c:pt idx="4">
                  <c:v>28.356481481481488</c:v>
                </c:pt>
                <c:pt idx="5">
                  <c:v>42.534722222222229</c:v>
                </c:pt>
                <c:pt idx="6">
                  <c:v>47.260802469135811</c:v>
                </c:pt>
                <c:pt idx="7">
                  <c:v>66.165123456790141</c:v>
                </c:pt>
                <c:pt idx="8">
                  <c:v>70.891203703703709</c:v>
                </c:pt>
                <c:pt idx="9">
                  <c:v>115.78896604938274</c:v>
                </c:pt>
                <c:pt idx="10">
                  <c:v>165.41280864197535</c:v>
                </c:pt>
                <c:pt idx="11">
                  <c:v>226.8518518518519</c:v>
                </c:pt>
                <c:pt idx="12">
                  <c:v>307.19521604938279</c:v>
                </c:pt>
                <c:pt idx="13">
                  <c:v>375.72337962962973</c:v>
                </c:pt>
                <c:pt idx="14">
                  <c:v>472.60802469135814</c:v>
                </c:pt>
                <c:pt idx="15">
                  <c:v>564.76658950617298</c:v>
                </c:pt>
                <c:pt idx="16">
                  <c:v>675.82947530864203</c:v>
                </c:pt>
                <c:pt idx="17">
                  <c:v>808.1597222222224</c:v>
                </c:pt>
                <c:pt idx="18">
                  <c:v>952.3051697530866</c:v>
                </c:pt>
                <c:pt idx="19">
                  <c:v>1127.1701388888891</c:v>
                </c:pt>
                <c:pt idx="20">
                  <c:v>1346.9328703703704</c:v>
                </c:pt>
                <c:pt idx="21">
                  <c:v>1616.3194444444448</c:v>
                </c:pt>
                <c:pt idx="22">
                  <c:v>2008.5841049382718</c:v>
                </c:pt>
                <c:pt idx="23">
                  <c:v>2835.6481481481483</c:v>
                </c:pt>
                <c:pt idx="24">
                  <c:v>4726.0802469135815</c:v>
                </c:pt>
              </c:numCache>
            </c:numRef>
          </c:xVal>
          <c:yVal>
            <c:numRef>
              <c:f>Tassement_sans_surchage!$F$37:$F$61</c:f>
              <c:numCache>
                <c:formatCode>0.00</c:formatCode>
                <c:ptCount val="25"/>
                <c:pt idx="0">
                  <c:v>6.3171428571428573E-2</c:v>
                </c:pt>
                <c:pt idx="1">
                  <c:v>7.6364293584973209E-2</c:v>
                </c:pt>
                <c:pt idx="2">
                  <c:v>8.1905296890661949E-2</c:v>
                </c:pt>
                <c:pt idx="3">
                  <c:v>8.9557158598517844E-2</c:v>
                </c:pt>
                <c:pt idx="4">
                  <c:v>9.5889733805019278E-2</c:v>
                </c:pt>
                <c:pt idx="5">
                  <c:v>0.10275002361206248</c:v>
                </c:pt>
                <c:pt idx="6">
                  <c:v>0.1053885966147714</c:v>
                </c:pt>
                <c:pt idx="7">
                  <c:v>0.1130404583226273</c:v>
                </c:pt>
                <c:pt idx="8">
                  <c:v>0.11594288862560712</c:v>
                </c:pt>
                <c:pt idx="9">
                  <c:v>0.12913575363915175</c:v>
                </c:pt>
                <c:pt idx="10">
                  <c:v>0.14232861865269639</c:v>
                </c:pt>
                <c:pt idx="11">
                  <c:v>0.15552148366624102</c:v>
                </c:pt>
                <c:pt idx="12">
                  <c:v>0.16871434867978566</c:v>
                </c:pt>
                <c:pt idx="13">
                  <c:v>0.18190721369333029</c:v>
                </c:pt>
                <c:pt idx="14">
                  <c:v>0.19510007870687493</c:v>
                </c:pt>
                <c:pt idx="15">
                  <c:v>0.20829294372041957</c:v>
                </c:pt>
                <c:pt idx="16">
                  <c:v>0.2214858087339642</c:v>
                </c:pt>
                <c:pt idx="17">
                  <c:v>0.23467867374750884</c:v>
                </c:pt>
                <c:pt idx="18">
                  <c:v>0.24787153876105347</c:v>
                </c:pt>
                <c:pt idx="19">
                  <c:v>0.26106440377459811</c:v>
                </c:pt>
                <c:pt idx="20">
                  <c:v>0.27425726878814272</c:v>
                </c:pt>
                <c:pt idx="21">
                  <c:v>0.28745013380168738</c:v>
                </c:pt>
                <c:pt idx="22">
                  <c:v>0.30064299881523204</c:v>
                </c:pt>
                <c:pt idx="23">
                  <c:v>0.3138358638287766</c:v>
                </c:pt>
                <c:pt idx="24">
                  <c:v>0.32439015583961239</c:v>
                </c:pt>
              </c:numCache>
            </c:numRef>
          </c:yVal>
          <c:smooth val="1"/>
        </c:ser>
        <c:ser>
          <c:idx val="1"/>
          <c:order val="1"/>
          <c:tx>
            <c:v>x=20</c:v>
          </c:tx>
          <c:marker>
            <c:symbol val="none"/>
          </c:marker>
          <c:xVal>
            <c:numRef>
              <c:f>Tassement_sans_surchage!$E$37:$E$61</c:f>
              <c:numCache>
                <c:formatCode>0.00E+00</c:formatCode>
                <c:ptCount val="25"/>
                <c:pt idx="0">
                  <c:v>0</c:v>
                </c:pt>
                <c:pt idx="1">
                  <c:v>4.7260802469135816</c:v>
                </c:pt>
                <c:pt idx="2">
                  <c:v>9.4521604938271633</c:v>
                </c:pt>
                <c:pt idx="3">
                  <c:v>18.904320987654327</c:v>
                </c:pt>
                <c:pt idx="4">
                  <c:v>28.356481481481488</c:v>
                </c:pt>
                <c:pt idx="5">
                  <c:v>42.534722222222229</c:v>
                </c:pt>
                <c:pt idx="6">
                  <c:v>47.260802469135811</c:v>
                </c:pt>
                <c:pt idx="7">
                  <c:v>66.165123456790141</c:v>
                </c:pt>
                <c:pt idx="8">
                  <c:v>70.891203703703709</c:v>
                </c:pt>
                <c:pt idx="9">
                  <c:v>115.78896604938274</c:v>
                </c:pt>
                <c:pt idx="10">
                  <c:v>165.41280864197535</c:v>
                </c:pt>
                <c:pt idx="11">
                  <c:v>226.8518518518519</c:v>
                </c:pt>
                <c:pt idx="12">
                  <c:v>307.19521604938279</c:v>
                </c:pt>
                <c:pt idx="13">
                  <c:v>375.72337962962973</c:v>
                </c:pt>
                <c:pt idx="14">
                  <c:v>472.60802469135814</c:v>
                </c:pt>
                <c:pt idx="15">
                  <c:v>564.76658950617298</c:v>
                </c:pt>
                <c:pt idx="16">
                  <c:v>675.82947530864203</c:v>
                </c:pt>
                <c:pt idx="17">
                  <c:v>808.1597222222224</c:v>
                </c:pt>
                <c:pt idx="18">
                  <c:v>952.3051697530866</c:v>
                </c:pt>
                <c:pt idx="19">
                  <c:v>1127.1701388888891</c:v>
                </c:pt>
                <c:pt idx="20">
                  <c:v>1346.9328703703704</c:v>
                </c:pt>
                <c:pt idx="21">
                  <c:v>1616.3194444444448</c:v>
                </c:pt>
                <c:pt idx="22">
                  <c:v>2008.5841049382718</c:v>
                </c:pt>
                <c:pt idx="23">
                  <c:v>2835.6481481481483</c:v>
                </c:pt>
                <c:pt idx="24">
                  <c:v>4726.0802469135815</c:v>
                </c:pt>
              </c:numCache>
            </c:numRef>
          </c:xVal>
          <c:yVal>
            <c:numRef>
              <c:f>Tassement_sans_surchage!$G$37:$G$61</c:f>
              <c:numCache>
                <c:formatCode>0.00</c:formatCode>
                <c:ptCount val="25"/>
                <c:pt idx="0">
                  <c:v>5.4755555555555557E-2</c:v>
                </c:pt>
                <c:pt idx="1">
                  <c:v>6.6755555555555554E-2</c:v>
                </c:pt>
                <c:pt idx="2">
                  <c:v>7.1795555555555557E-2</c:v>
                </c:pt>
                <c:pt idx="3">
                  <c:v>7.8755555555555551E-2</c:v>
                </c:pt>
                <c:pt idx="4">
                  <c:v>8.4515555555555552E-2</c:v>
                </c:pt>
                <c:pt idx="5">
                  <c:v>9.0755555555555562E-2</c:v>
                </c:pt>
                <c:pt idx="6">
                  <c:v>9.3155555555555547E-2</c:v>
                </c:pt>
                <c:pt idx="7">
                  <c:v>0.10011555555555554</c:v>
                </c:pt>
                <c:pt idx="8">
                  <c:v>0.10275555555555556</c:v>
                </c:pt>
                <c:pt idx="9">
                  <c:v>0.11475555555555556</c:v>
                </c:pt>
                <c:pt idx="10">
                  <c:v>0.12675555555555557</c:v>
                </c:pt>
                <c:pt idx="11">
                  <c:v>0.13875555555555555</c:v>
                </c:pt>
                <c:pt idx="12">
                  <c:v>0.15075555555555556</c:v>
                </c:pt>
                <c:pt idx="13">
                  <c:v>0.16275555555555554</c:v>
                </c:pt>
                <c:pt idx="14">
                  <c:v>0.17475555555555555</c:v>
                </c:pt>
                <c:pt idx="15">
                  <c:v>0.18675555555555556</c:v>
                </c:pt>
                <c:pt idx="16">
                  <c:v>0.19875555555555555</c:v>
                </c:pt>
                <c:pt idx="17">
                  <c:v>0.21075555555555556</c:v>
                </c:pt>
                <c:pt idx="18">
                  <c:v>0.22275555555555554</c:v>
                </c:pt>
                <c:pt idx="19">
                  <c:v>0.23475555555555555</c:v>
                </c:pt>
                <c:pt idx="20">
                  <c:v>0.24675555555555556</c:v>
                </c:pt>
                <c:pt idx="21">
                  <c:v>0.25875555555555552</c:v>
                </c:pt>
                <c:pt idx="22">
                  <c:v>0.27075555555555553</c:v>
                </c:pt>
                <c:pt idx="23">
                  <c:v>0.28275555555555554</c:v>
                </c:pt>
                <c:pt idx="24">
                  <c:v>0.29235555555555554</c:v>
                </c:pt>
              </c:numCache>
            </c:numRef>
          </c:yVal>
          <c:smooth val="1"/>
        </c:ser>
        <c:ser>
          <c:idx val="2"/>
          <c:order val="2"/>
          <c:tx>
            <c:v>x=40</c:v>
          </c:tx>
          <c:marker>
            <c:symbol val="none"/>
          </c:marker>
          <c:xVal>
            <c:numRef>
              <c:f>Tassement_sans_surchage!$E$37:$E$61</c:f>
              <c:numCache>
                <c:formatCode>0.00E+00</c:formatCode>
                <c:ptCount val="25"/>
                <c:pt idx="0">
                  <c:v>0</c:v>
                </c:pt>
                <c:pt idx="1">
                  <c:v>4.7260802469135816</c:v>
                </c:pt>
                <c:pt idx="2">
                  <c:v>9.4521604938271633</c:v>
                </c:pt>
                <c:pt idx="3">
                  <c:v>18.904320987654327</c:v>
                </c:pt>
                <c:pt idx="4">
                  <c:v>28.356481481481488</c:v>
                </c:pt>
                <c:pt idx="5">
                  <c:v>42.534722222222229</c:v>
                </c:pt>
                <c:pt idx="6">
                  <c:v>47.260802469135811</c:v>
                </c:pt>
                <c:pt idx="7">
                  <c:v>66.165123456790141</c:v>
                </c:pt>
                <c:pt idx="8">
                  <c:v>70.891203703703709</c:v>
                </c:pt>
                <c:pt idx="9">
                  <c:v>115.78896604938274</c:v>
                </c:pt>
                <c:pt idx="10">
                  <c:v>165.41280864197535</c:v>
                </c:pt>
                <c:pt idx="11">
                  <c:v>226.8518518518519</c:v>
                </c:pt>
                <c:pt idx="12">
                  <c:v>307.19521604938279</c:v>
                </c:pt>
                <c:pt idx="13">
                  <c:v>375.72337962962973</c:v>
                </c:pt>
                <c:pt idx="14">
                  <c:v>472.60802469135814</c:v>
                </c:pt>
                <c:pt idx="15">
                  <c:v>564.76658950617298</c:v>
                </c:pt>
                <c:pt idx="16">
                  <c:v>675.82947530864203</c:v>
                </c:pt>
                <c:pt idx="17">
                  <c:v>808.1597222222224</c:v>
                </c:pt>
                <c:pt idx="18">
                  <c:v>952.3051697530866</c:v>
                </c:pt>
                <c:pt idx="19">
                  <c:v>1127.1701388888891</c:v>
                </c:pt>
                <c:pt idx="20">
                  <c:v>1346.9328703703704</c:v>
                </c:pt>
                <c:pt idx="21">
                  <c:v>1616.3194444444448</c:v>
                </c:pt>
                <c:pt idx="22">
                  <c:v>2008.5841049382718</c:v>
                </c:pt>
                <c:pt idx="23">
                  <c:v>2835.6481481481483</c:v>
                </c:pt>
                <c:pt idx="24">
                  <c:v>4726.0802469135815</c:v>
                </c:pt>
              </c:numCache>
            </c:numRef>
          </c:xVal>
          <c:yVal>
            <c:numRef>
              <c:f>Tassement_sans_surchage!$H$37:$H$61</c:f>
              <c:numCache>
                <c:formatCode>0.00</c:formatCode>
                <c:ptCount val="25"/>
                <c:pt idx="0">
                  <c:v>4.6498412698412699E-2</c:v>
                </c:pt>
                <c:pt idx="1">
                  <c:v>5.7498412698412701E-2</c:v>
                </c:pt>
                <c:pt idx="2">
                  <c:v>6.2118412698412701E-2</c:v>
                </c:pt>
                <c:pt idx="3">
                  <c:v>6.8498412698412697E-2</c:v>
                </c:pt>
                <c:pt idx="4">
                  <c:v>7.3778412698412704E-2</c:v>
                </c:pt>
                <c:pt idx="5">
                  <c:v>7.9498412698412707E-2</c:v>
                </c:pt>
                <c:pt idx="6">
                  <c:v>8.1698412698412701E-2</c:v>
                </c:pt>
                <c:pt idx="7">
                  <c:v>8.8078412698412684E-2</c:v>
                </c:pt>
                <c:pt idx="8">
                  <c:v>9.0498412698412703E-2</c:v>
                </c:pt>
                <c:pt idx="9">
                  <c:v>0.1014984126984127</c:v>
                </c:pt>
                <c:pt idx="10">
                  <c:v>0.11249841269841271</c:v>
                </c:pt>
                <c:pt idx="11">
                  <c:v>0.12349841269841269</c:v>
                </c:pt>
                <c:pt idx="12">
                  <c:v>0.1344984126984127</c:v>
                </c:pt>
                <c:pt idx="13">
                  <c:v>0.14549841269841271</c:v>
                </c:pt>
                <c:pt idx="14">
                  <c:v>0.15649841269841269</c:v>
                </c:pt>
                <c:pt idx="15">
                  <c:v>0.1674984126984127</c:v>
                </c:pt>
                <c:pt idx="16">
                  <c:v>0.17849841269841271</c:v>
                </c:pt>
                <c:pt idx="17">
                  <c:v>0.18949841269841272</c:v>
                </c:pt>
                <c:pt idx="18">
                  <c:v>0.2004984126984127</c:v>
                </c:pt>
                <c:pt idx="19">
                  <c:v>0.21149841269841271</c:v>
                </c:pt>
                <c:pt idx="20">
                  <c:v>0.22249841269841272</c:v>
                </c:pt>
                <c:pt idx="21">
                  <c:v>0.23349841269841271</c:v>
                </c:pt>
                <c:pt idx="22">
                  <c:v>0.24449841269841271</c:v>
                </c:pt>
                <c:pt idx="23">
                  <c:v>0.25549841269841267</c:v>
                </c:pt>
                <c:pt idx="24">
                  <c:v>0.2642984126984127</c:v>
                </c:pt>
              </c:numCache>
            </c:numRef>
          </c:yVal>
          <c:smooth val="1"/>
        </c:ser>
        <c:ser>
          <c:idx val="3"/>
          <c:order val="3"/>
          <c:tx>
            <c:v>x=50</c:v>
          </c:tx>
          <c:marker>
            <c:symbol val="none"/>
          </c:marker>
          <c:xVal>
            <c:numRef>
              <c:f>Tassement_sans_surchage!$E$37:$E$61</c:f>
              <c:numCache>
                <c:formatCode>0.00E+00</c:formatCode>
                <c:ptCount val="25"/>
                <c:pt idx="0">
                  <c:v>0</c:v>
                </c:pt>
                <c:pt idx="1">
                  <c:v>4.7260802469135816</c:v>
                </c:pt>
                <c:pt idx="2">
                  <c:v>9.4521604938271633</c:v>
                </c:pt>
                <c:pt idx="3">
                  <c:v>18.904320987654327</c:v>
                </c:pt>
                <c:pt idx="4">
                  <c:v>28.356481481481488</c:v>
                </c:pt>
                <c:pt idx="5">
                  <c:v>42.534722222222229</c:v>
                </c:pt>
                <c:pt idx="6">
                  <c:v>47.260802469135811</c:v>
                </c:pt>
                <c:pt idx="7">
                  <c:v>66.165123456790141</c:v>
                </c:pt>
                <c:pt idx="8">
                  <c:v>70.891203703703709</c:v>
                </c:pt>
                <c:pt idx="9">
                  <c:v>115.78896604938274</c:v>
                </c:pt>
                <c:pt idx="10">
                  <c:v>165.41280864197535</c:v>
                </c:pt>
                <c:pt idx="11">
                  <c:v>226.8518518518519</c:v>
                </c:pt>
                <c:pt idx="12">
                  <c:v>307.19521604938279</c:v>
                </c:pt>
                <c:pt idx="13">
                  <c:v>375.72337962962973</c:v>
                </c:pt>
                <c:pt idx="14">
                  <c:v>472.60802469135814</c:v>
                </c:pt>
                <c:pt idx="15">
                  <c:v>564.76658950617298</c:v>
                </c:pt>
                <c:pt idx="16">
                  <c:v>675.82947530864203</c:v>
                </c:pt>
                <c:pt idx="17">
                  <c:v>808.1597222222224</c:v>
                </c:pt>
                <c:pt idx="18">
                  <c:v>952.3051697530866</c:v>
                </c:pt>
                <c:pt idx="19">
                  <c:v>1127.1701388888891</c:v>
                </c:pt>
                <c:pt idx="20">
                  <c:v>1346.9328703703704</c:v>
                </c:pt>
                <c:pt idx="21">
                  <c:v>1616.3194444444448</c:v>
                </c:pt>
                <c:pt idx="22">
                  <c:v>2008.5841049382718</c:v>
                </c:pt>
                <c:pt idx="23">
                  <c:v>2835.6481481481483</c:v>
                </c:pt>
                <c:pt idx="24">
                  <c:v>4726.0802469135815</c:v>
                </c:pt>
              </c:numCache>
            </c:numRef>
          </c:xVal>
          <c:yVal>
            <c:numRef>
              <c:f>Tassement_sans_surchage!$I$37:$I$61</c:f>
              <c:numCache>
                <c:formatCode>0.00</c:formatCode>
                <c:ptCount val="25"/>
                <c:pt idx="0">
                  <c:v>4.2429365079365081E-2</c:v>
                </c:pt>
                <c:pt idx="1">
                  <c:v>5.2929365079365083E-2</c:v>
                </c:pt>
                <c:pt idx="2">
                  <c:v>5.733936507936508E-2</c:v>
                </c:pt>
                <c:pt idx="3">
                  <c:v>6.3429365079365085E-2</c:v>
                </c:pt>
                <c:pt idx="4">
                  <c:v>6.8469365079365074E-2</c:v>
                </c:pt>
                <c:pt idx="5">
                  <c:v>7.3929365079365081E-2</c:v>
                </c:pt>
                <c:pt idx="6">
                  <c:v>7.6029365079365085E-2</c:v>
                </c:pt>
                <c:pt idx="7">
                  <c:v>8.211936507936507E-2</c:v>
                </c:pt>
                <c:pt idx="8">
                  <c:v>8.4429365079365076E-2</c:v>
                </c:pt>
                <c:pt idx="9">
                  <c:v>9.4929365079365086E-2</c:v>
                </c:pt>
                <c:pt idx="10">
                  <c:v>0.10542936507936508</c:v>
                </c:pt>
                <c:pt idx="11">
                  <c:v>0.11592936507936508</c:v>
                </c:pt>
                <c:pt idx="12">
                  <c:v>0.12642936507936509</c:v>
                </c:pt>
                <c:pt idx="13">
                  <c:v>0.1369293650793651</c:v>
                </c:pt>
                <c:pt idx="14">
                  <c:v>0.14742936507936508</c:v>
                </c:pt>
                <c:pt idx="15">
                  <c:v>0.15792936507936509</c:v>
                </c:pt>
                <c:pt idx="16">
                  <c:v>0.16842936507936507</c:v>
                </c:pt>
                <c:pt idx="17">
                  <c:v>0.17892936507936508</c:v>
                </c:pt>
                <c:pt idx="18">
                  <c:v>0.18942936507936509</c:v>
                </c:pt>
                <c:pt idx="19">
                  <c:v>0.1999293650793651</c:v>
                </c:pt>
                <c:pt idx="20">
                  <c:v>0.2104293650793651</c:v>
                </c:pt>
                <c:pt idx="21">
                  <c:v>0.22092936507936506</c:v>
                </c:pt>
                <c:pt idx="22">
                  <c:v>0.23142936507936507</c:v>
                </c:pt>
                <c:pt idx="23">
                  <c:v>0.24192936507936508</c:v>
                </c:pt>
                <c:pt idx="24">
                  <c:v>0.2503293650793651</c:v>
                </c:pt>
              </c:numCache>
            </c:numRef>
          </c:yVal>
          <c:smooth val="1"/>
        </c:ser>
        <c:ser>
          <c:idx val="4"/>
          <c:order val="4"/>
          <c:tx>
            <c:v>x=85</c:v>
          </c:tx>
          <c:marker>
            <c:symbol val="none"/>
          </c:marker>
          <c:xVal>
            <c:numRef>
              <c:f>Tassement_sans_surchage!$E$37:$E$61</c:f>
              <c:numCache>
                <c:formatCode>0.00E+00</c:formatCode>
                <c:ptCount val="25"/>
                <c:pt idx="0">
                  <c:v>0</c:v>
                </c:pt>
                <c:pt idx="1">
                  <c:v>4.7260802469135816</c:v>
                </c:pt>
                <c:pt idx="2">
                  <c:v>9.4521604938271633</c:v>
                </c:pt>
                <c:pt idx="3">
                  <c:v>18.904320987654327</c:v>
                </c:pt>
                <c:pt idx="4">
                  <c:v>28.356481481481488</c:v>
                </c:pt>
                <c:pt idx="5">
                  <c:v>42.534722222222229</c:v>
                </c:pt>
                <c:pt idx="6">
                  <c:v>47.260802469135811</c:v>
                </c:pt>
                <c:pt idx="7">
                  <c:v>66.165123456790141</c:v>
                </c:pt>
                <c:pt idx="8">
                  <c:v>70.891203703703709</c:v>
                </c:pt>
                <c:pt idx="9">
                  <c:v>115.78896604938274</c:v>
                </c:pt>
                <c:pt idx="10">
                  <c:v>165.41280864197535</c:v>
                </c:pt>
                <c:pt idx="11">
                  <c:v>226.8518518518519</c:v>
                </c:pt>
                <c:pt idx="12">
                  <c:v>307.19521604938279</c:v>
                </c:pt>
                <c:pt idx="13">
                  <c:v>375.72337962962973</c:v>
                </c:pt>
                <c:pt idx="14">
                  <c:v>472.60802469135814</c:v>
                </c:pt>
                <c:pt idx="15">
                  <c:v>564.76658950617298</c:v>
                </c:pt>
                <c:pt idx="16">
                  <c:v>675.82947530864203</c:v>
                </c:pt>
                <c:pt idx="17">
                  <c:v>808.1597222222224</c:v>
                </c:pt>
                <c:pt idx="18">
                  <c:v>952.3051697530866</c:v>
                </c:pt>
                <c:pt idx="19">
                  <c:v>1127.1701388888891</c:v>
                </c:pt>
                <c:pt idx="20">
                  <c:v>1346.9328703703704</c:v>
                </c:pt>
                <c:pt idx="21">
                  <c:v>1616.3194444444448</c:v>
                </c:pt>
                <c:pt idx="22">
                  <c:v>2008.5841049382718</c:v>
                </c:pt>
                <c:pt idx="23">
                  <c:v>2835.6481481481483</c:v>
                </c:pt>
                <c:pt idx="24">
                  <c:v>4726.0802469135815</c:v>
                </c:pt>
              </c:numCache>
            </c:numRef>
          </c:xVal>
          <c:yVal>
            <c:numRef>
              <c:f>Tassement_sans_surchage!$J$37:$J$61</c:f>
              <c:numCache>
                <c:formatCode>0.00</c:formatCode>
                <c:ptCount val="25"/>
                <c:pt idx="0">
                  <c:v>2.8500198412698415E-2</c:v>
                </c:pt>
                <c:pt idx="1">
                  <c:v>3.5500198412698414E-2</c:v>
                </c:pt>
                <c:pt idx="2">
                  <c:v>3.8440198412698412E-2</c:v>
                </c:pt>
                <c:pt idx="3">
                  <c:v>4.250019841269842E-2</c:v>
                </c:pt>
                <c:pt idx="4">
                  <c:v>4.5860198412698415E-2</c:v>
                </c:pt>
                <c:pt idx="5">
                  <c:v>4.9500198412698412E-2</c:v>
                </c:pt>
                <c:pt idx="6">
                  <c:v>5.0900198412698418E-2</c:v>
                </c:pt>
                <c:pt idx="7">
                  <c:v>5.4960198412698412E-2</c:v>
                </c:pt>
                <c:pt idx="8">
                  <c:v>5.6500198412698419E-2</c:v>
                </c:pt>
                <c:pt idx="9">
                  <c:v>6.3500198412698411E-2</c:v>
                </c:pt>
                <c:pt idx="10">
                  <c:v>7.0500198412698417E-2</c:v>
                </c:pt>
                <c:pt idx="11">
                  <c:v>7.7500198412698423E-2</c:v>
                </c:pt>
                <c:pt idx="12">
                  <c:v>8.450019841269843E-2</c:v>
                </c:pt>
                <c:pt idx="13">
                  <c:v>9.1500198412698436E-2</c:v>
                </c:pt>
                <c:pt idx="14">
                  <c:v>9.8500198412698414E-2</c:v>
                </c:pt>
                <c:pt idx="15">
                  <c:v>0.10550019841269842</c:v>
                </c:pt>
                <c:pt idx="16">
                  <c:v>0.11250019841269843</c:v>
                </c:pt>
                <c:pt idx="17">
                  <c:v>0.11950019841269843</c:v>
                </c:pt>
                <c:pt idx="18">
                  <c:v>0.12650019841269841</c:v>
                </c:pt>
                <c:pt idx="19">
                  <c:v>0.13350019841269842</c:v>
                </c:pt>
                <c:pt idx="20">
                  <c:v>0.14050019841269842</c:v>
                </c:pt>
                <c:pt idx="21">
                  <c:v>0.14750019841269843</c:v>
                </c:pt>
                <c:pt idx="22">
                  <c:v>0.15450019841269844</c:v>
                </c:pt>
                <c:pt idx="23">
                  <c:v>0.16150019841269841</c:v>
                </c:pt>
                <c:pt idx="24">
                  <c:v>0.16710019841269841</c:v>
                </c:pt>
              </c:numCache>
            </c:numRef>
          </c:yVal>
          <c:smooth val="1"/>
        </c:ser>
        <c:ser>
          <c:idx val="5"/>
          <c:order val="5"/>
          <c:tx>
            <c:v>x=120</c:v>
          </c:tx>
          <c:marker>
            <c:symbol val="none"/>
          </c:marker>
          <c:xVal>
            <c:numRef>
              <c:f>Tassement_sans_surchage!$E$37:$E$61</c:f>
              <c:numCache>
                <c:formatCode>0.00E+00</c:formatCode>
                <c:ptCount val="25"/>
                <c:pt idx="0">
                  <c:v>0</c:v>
                </c:pt>
                <c:pt idx="1">
                  <c:v>4.7260802469135816</c:v>
                </c:pt>
                <c:pt idx="2">
                  <c:v>9.4521604938271633</c:v>
                </c:pt>
                <c:pt idx="3">
                  <c:v>18.904320987654327</c:v>
                </c:pt>
                <c:pt idx="4">
                  <c:v>28.356481481481488</c:v>
                </c:pt>
                <c:pt idx="5">
                  <c:v>42.534722222222229</c:v>
                </c:pt>
                <c:pt idx="6">
                  <c:v>47.260802469135811</c:v>
                </c:pt>
                <c:pt idx="7">
                  <c:v>66.165123456790141</c:v>
                </c:pt>
                <c:pt idx="8">
                  <c:v>70.891203703703709</c:v>
                </c:pt>
                <c:pt idx="9">
                  <c:v>115.78896604938274</c:v>
                </c:pt>
                <c:pt idx="10">
                  <c:v>165.41280864197535</c:v>
                </c:pt>
                <c:pt idx="11">
                  <c:v>226.8518518518519</c:v>
                </c:pt>
                <c:pt idx="12">
                  <c:v>307.19521604938279</c:v>
                </c:pt>
                <c:pt idx="13">
                  <c:v>375.72337962962973</c:v>
                </c:pt>
                <c:pt idx="14">
                  <c:v>472.60802469135814</c:v>
                </c:pt>
                <c:pt idx="15">
                  <c:v>564.76658950617298</c:v>
                </c:pt>
                <c:pt idx="16">
                  <c:v>675.82947530864203</c:v>
                </c:pt>
                <c:pt idx="17">
                  <c:v>808.1597222222224</c:v>
                </c:pt>
                <c:pt idx="18">
                  <c:v>952.3051697530866</c:v>
                </c:pt>
                <c:pt idx="19">
                  <c:v>1127.1701388888891</c:v>
                </c:pt>
                <c:pt idx="20">
                  <c:v>1346.9328703703704</c:v>
                </c:pt>
                <c:pt idx="21">
                  <c:v>1616.3194444444448</c:v>
                </c:pt>
                <c:pt idx="22">
                  <c:v>2008.5841049382718</c:v>
                </c:pt>
                <c:pt idx="23">
                  <c:v>2835.6481481481483</c:v>
                </c:pt>
                <c:pt idx="24">
                  <c:v>4726.0802469135815</c:v>
                </c:pt>
              </c:numCache>
            </c:numRef>
          </c:xVal>
          <c:yVal>
            <c:numRef>
              <c:f>Tassement_sans_surchage!$K$37:$K$61</c:f>
              <c:numCache>
                <c:formatCode>0.00</c:formatCode>
                <c:ptCount val="25"/>
                <c:pt idx="0">
                  <c:v>1.5057142857142857E-2</c:v>
                </c:pt>
                <c:pt idx="1">
                  <c:v>1.7557142857142858E-2</c:v>
                </c:pt>
                <c:pt idx="2">
                  <c:v>1.8607142857142857E-2</c:v>
                </c:pt>
                <c:pt idx="3">
                  <c:v>2.0057142857142857E-2</c:v>
                </c:pt>
                <c:pt idx="4">
                  <c:v>2.1257142857142856E-2</c:v>
                </c:pt>
                <c:pt idx="5">
                  <c:v>2.2557142857142859E-2</c:v>
                </c:pt>
                <c:pt idx="6">
                  <c:v>2.3057142857142859E-2</c:v>
                </c:pt>
                <c:pt idx="7">
                  <c:v>2.4507142857142859E-2</c:v>
                </c:pt>
                <c:pt idx="8">
                  <c:v>2.5057142857142861E-2</c:v>
                </c:pt>
                <c:pt idx="9">
                  <c:v>2.7557142857142856E-2</c:v>
                </c:pt>
                <c:pt idx="10">
                  <c:v>3.0057142857142859E-2</c:v>
                </c:pt>
                <c:pt idx="11">
                  <c:v>3.2557142857142854E-2</c:v>
                </c:pt>
                <c:pt idx="12">
                  <c:v>3.5057142857142863E-2</c:v>
                </c:pt>
                <c:pt idx="13">
                  <c:v>3.7557142857142858E-2</c:v>
                </c:pt>
                <c:pt idx="14">
                  <c:v>4.0057142857142861E-2</c:v>
                </c:pt>
                <c:pt idx="15">
                  <c:v>4.2557142857142863E-2</c:v>
                </c:pt>
                <c:pt idx="16">
                  <c:v>4.5057142857142858E-2</c:v>
                </c:pt>
                <c:pt idx="17">
                  <c:v>4.755714285714286E-2</c:v>
                </c:pt>
                <c:pt idx="18">
                  <c:v>5.0057142857142856E-2</c:v>
                </c:pt>
                <c:pt idx="19">
                  <c:v>5.2557142857142865E-2</c:v>
                </c:pt>
                <c:pt idx="20">
                  <c:v>5.5057142857142867E-2</c:v>
                </c:pt>
                <c:pt idx="21">
                  <c:v>5.7557142857142862E-2</c:v>
                </c:pt>
                <c:pt idx="22">
                  <c:v>6.0057142857142864E-2</c:v>
                </c:pt>
                <c:pt idx="23">
                  <c:v>6.2557142857142853E-2</c:v>
                </c:pt>
                <c:pt idx="24">
                  <c:v>6.4557142857142855E-2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82208"/>
        <c:axId val="47184128"/>
      </c:scatterChart>
      <c:valAx>
        <c:axId val="47182208"/>
        <c:scaling>
          <c:logBase val="10"/>
          <c:orientation val="minMax"/>
          <c:min val="5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Temps (jours)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47184128"/>
        <c:crosses val="autoZero"/>
        <c:crossBetween val="midCat"/>
      </c:valAx>
      <c:valAx>
        <c:axId val="4718412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Tassement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47182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Coupe  géologique sous la plateforme de lançage</a:t>
            </a:r>
          </a:p>
        </c:rich>
      </c:tx>
      <c:layout>
        <c:manualLayout>
          <c:xMode val="edge"/>
          <c:yMode val="edge"/>
          <c:x val="0.14451538213877149"/>
          <c:y val="7.22891566265060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193583262622325E-2"/>
          <c:y val="0.22515110310006431"/>
          <c:w val="0.89812789812134575"/>
          <c:h val="0.7235092601376634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Tassement_sans_surchage!$A$10</c:f>
              <c:strCache>
                <c:ptCount val="1"/>
                <c:pt idx="0">
                  <c:v>Haut de la plateforme</c:v>
                </c:pt>
              </c:strCache>
            </c:strRef>
          </c:tx>
          <c:xVal>
            <c:numRef>
              <c:f>Tassement_sans_surchage!$D$8:$I$8</c:f>
              <c:numCache>
                <c:formatCode>0.00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85</c:v>
                </c:pt>
                <c:pt idx="5">
                  <c:v>120</c:v>
                </c:pt>
              </c:numCache>
            </c:numRef>
          </c:xVal>
          <c:yVal>
            <c:numRef>
              <c:f>Tassement_sans_surchage!$D$10:$I$10</c:f>
              <c:numCache>
                <c:formatCode>0.00</c:formatCode>
                <c:ptCount val="6"/>
                <c:pt idx="0">
                  <c:v>12.7</c:v>
                </c:pt>
                <c:pt idx="1">
                  <c:v>11.7</c:v>
                </c:pt>
                <c:pt idx="2">
                  <c:v>10.7</c:v>
                </c:pt>
                <c:pt idx="3">
                  <c:v>10.199999999999999</c:v>
                </c:pt>
                <c:pt idx="4">
                  <c:v>8.4499999999999993</c:v>
                </c:pt>
                <c:pt idx="5">
                  <c:v>6.7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Tassement_sans_surchage!$A$11</c:f>
              <c:strCache>
                <c:ptCount val="1"/>
                <c:pt idx="0">
                  <c:v>haut du remblai</c:v>
                </c:pt>
              </c:strCache>
            </c:strRef>
          </c:tx>
          <c:xVal>
            <c:numRef>
              <c:f>Tassement_sans_surchage!$D$8:$I$8</c:f>
              <c:numCache>
                <c:formatCode>0.00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85</c:v>
                </c:pt>
                <c:pt idx="5">
                  <c:v>120</c:v>
                </c:pt>
              </c:numCache>
            </c:numRef>
          </c:xVal>
          <c:yVal>
            <c:numRef>
              <c:f>Tassement_sans_surchage!$D$12:$I$12</c:f>
              <c:numCache>
                <c:formatCode>0.00</c:formatCode>
                <c:ptCount val="6"/>
                <c:pt idx="0">
                  <c:v>4</c:v>
                </c:pt>
                <c:pt idx="1">
                  <c:v>3.9166666666666665</c:v>
                </c:pt>
                <c:pt idx="2">
                  <c:v>3.8333333333333335</c:v>
                </c:pt>
                <c:pt idx="3">
                  <c:v>3.7916666666666665</c:v>
                </c:pt>
                <c:pt idx="4">
                  <c:v>3.6458333333333335</c:v>
                </c:pt>
                <c:pt idx="5">
                  <c:v>3.5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Tassement_sans_surchage!$A$12</c:f>
              <c:strCache>
                <c:ptCount val="1"/>
                <c:pt idx="0">
                  <c:v>haut des alluvions argilo-vasardes</c:v>
                </c:pt>
              </c:strCache>
            </c:strRef>
          </c:tx>
          <c:xVal>
            <c:numRef>
              <c:f>Tassement_sans_surchage!$D$8:$I$8</c:f>
              <c:numCache>
                <c:formatCode>0.00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85</c:v>
                </c:pt>
                <c:pt idx="5">
                  <c:v>120</c:v>
                </c:pt>
              </c:numCache>
            </c:numRef>
          </c:xVal>
          <c:yVal>
            <c:numRef>
              <c:f>Tassement_sans_surchage!$D$13:$I$13</c:f>
              <c:numCache>
                <c:formatCode>0.00</c:formatCode>
                <c:ptCount val="6"/>
                <c:pt idx="0">
                  <c:v>0.5</c:v>
                </c:pt>
                <c:pt idx="1">
                  <c:v>0.33333333333333337</c:v>
                </c:pt>
                <c:pt idx="2">
                  <c:v>0.16666666666666669</c:v>
                </c:pt>
                <c:pt idx="3">
                  <c:v>8.3333333333333315E-2</c:v>
                </c:pt>
                <c:pt idx="4">
                  <c:v>-0.20833333333333337</c:v>
                </c:pt>
                <c:pt idx="5">
                  <c:v>-0.5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Tassement_sans_surchage!$A$13</c:f>
              <c:strCache>
                <c:ptCount val="1"/>
                <c:pt idx="0">
                  <c:v>haut des alluvions sableuses</c:v>
                </c:pt>
              </c:strCache>
            </c:strRef>
          </c:tx>
          <c:xVal>
            <c:numRef>
              <c:f>Tassement_sans_surchage!$D$8:$I$8</c:f>
              <c:numCache>
                <c:formatCode>0.00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85</c:v>
                </c:pt>
                <c:pt idx="5">
                  <c:v>120</c:v>
                </c:pt>
              </c:numCache>
            </c:numRef>
          </c:xVal>
          <c:yVal>
            <c:numRef>
              <c:f>Tassement_sans_surchage!$D$14:$I$14</c:f>
              <c:numCache>
                <c:formatCode>0.00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-0.5</c:v>
                </c:pt>
                <c:pt idx="3">
                  <c:v>-0.625</c:v>
                </c:pt>
                <c:pt idx="4">
                  <c:v>-1.0625</c:v>
                </c:pt>
                <c:pt idx="5">
                  <c:v>-1.5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Tassement_sans_surchage!$A$14</c:f>
              <c:strCache>
                <c:ptCount val="1"/>
                <c:pt idx="0">
                  <c:v>haut du calcaire</c:v>
                </c:pt>
              </c:strCache>
            </c:strRef>
          </c:tx>
          <c:xVal>
            <c:numRef>
              <c:f>Tassement_sans_surchage!$D$8:$I$8</c:f>
              <c:numCache>
                <c:formatCode>0.00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85</c:v>
                </c:pt>
                <c:pt idx="5">
                  <c:v>120</c:v>
                </c:pt>
              </c:numCache>
            </c:numRef>
          </c:xVal>
          <c:yVal>
            <c:numRef>
              <c:f>Tassement_sans_surchage!$D$11:$I$11</c:f>
              <c:numCache>
                <c:formatCode>0.00</c:formatCode>
                <c:ptCount val="6"/>
                <c:pt idx="0">
                  <c:v>6</c:v>
                </c:pt>
                <c:pt idx="1">
                  <c:v>5.833333333333333</c:v>
                </c:pt>
                <c:pt idx="2">
                  <c:v>5.666666666666667</c:v>
                </c:pt>
                <c:pt idx="3">
                  <c:v>5.583333333333333</c:v>
                </c:pt>
                <c:pt idx="4">
                  <c:v>5.291666666666667</c:v>
                </c:pt>
                <c:pt idx="5">
                  <c:v>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31328"/>
        <c:axId val="74129792"/>
      </c:scatterChart>
      <c:valAx>
        <c:axId val="74131328"/>
        <c:scaling>
          <c:orientation val="minMax"/>
          <c:max val="120"/>
        </c:scaling>
        <c:delete val="0"/>
        <c:axPos val="b"/>
        <c:numFmt formatCode="0.00" sourceLinked="1"/>
        <c:majorTickMark val="out"/>
        <c:minorTickMark val="none"/>
        <c:tickLblPos val="nextTo"/>
        <c:crossAx val="74129792"/>
        <c:crossesAt val="-4"/>
        <c:crossBetween val="midCat"/>
      </c:valAx>
      <c:valAx>
        <c:axId val="74129792"/>
        <c:scaling>
          <c:orientation val="minMax"/>
        </c:scaling>
        <c:delete val="0"/>
        <c:axPos val="l"/>
        <c:title>
          <c:layout/>
          <c:overlay val="0"/>
          <c:txPr>
            <a:bodyPr rot="-5400000" vert="horz"/>
            <a:lstStyle/>
            <a:p>
              <a:pPr>
                <a:defRPr/>
              </a:pPr>
              <a:endParaRPr lang="fr-FR"/>
            </a:p>
          </c:txPr>
        </c:title>
        <c:numFmt formatCode="0.00" sourceLinked="1"/>
        <c:majorTickMark val="out"/>
        <c:minorTickMark val="none"/>
        <c:tickLblPos val="nextTo"/>
        <c:crossAx val="74131328"/>
        <c:crosses val="autoZero"/>
        <c:crossBetween val="midCat"/>
      </c:valAx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Tassement du sol lors de la phase d'esploitation en fonction du temps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x=0</c:v>
          </c:tx>
          <c:marker>
            <c:symbol val="none"/>
          </c:marker>
          <c:xVal>
            <c:numRef>
              <c:f>Table13[t]</c:f>
              <c:numCache>
                <c:formatCode>0.00E+00</c:formatCode>
                <c:ptCount val="24"/>
                <c:pt idx="0">
                  <c:v>0</c:v>
                </c:pt>
                <c:pt idx="1">
                  <c:v>4.7260802469135816</c:v>
                </c:pt>
                <c:pt idx="2">
                  <c:v>9.4521604938271633</c:v>
                </c:pt>
                <c:pt idx="3">
                  <c:v>18.904320987654327</c:v>
                </c:pt>
                <c:pt idx="4">
                  <c:v>28.356481481481488</c:v>
                </c:pt>
                <c:pt idx="5">
                  <c:v>42.534722222222229</c:v>
                </c:pt>
                <c:pt idx="6">
                  <c:v>47.260802469135811</c:v>
                </c:pt>
                <c:pt idx="7">
                  <c:v>66.165123456790141</c:v>
                </c:pt>
                <c:pt idx="8">
                  <c:v>70.891203703703709</c:v>
                </c:pt>
                <c:pt idx="9">
                  <c:v>115.78896604938274</c:v>
                </c:pt>
                <c:pt idx="10">
                  <c:v>165.41280864197535</c:v>
                </c:pt>
                <c:pt idx="11">
                  <c:v>226.8518518518519</c:v>
                </c:pt>
                <c:pt idx="12">
                  <c:v>307.19521604938279</c:v>
                </c:pt>
                <c:pt idx="13">
                  <c:v>375.72337962962973</c:v>
                </c:pt>
                <c:pt idx="14">
                  <c:v>472.60802469135814</c:v>
                </c:pt>
                <c:pt idx="15">
                  <c:v>564.76658950617298</c:v>
                </c:pt>
                <c:pt idx="16">
                  <c:v>675.82947530864203</c:v>
                </c:pt>
                <c:pt idx="17">
                  <c:v>952.3051697530866</c:v>
                </c:pt>
                <c:pt idx="18">
                  <c:v>1127.1701388888891</c:v>
                </c:pt>
                <c:pt idx="19">
                  <c:v>1346.9328703703704</c:v>
                </c:pt>
                <c:pt idx="20">
                  <c:v>1616.3194444444448</c:v>
                </c:pt>
                <c:pt idx="21">
                  <c:v>2008.5841049382718</c:v>
                </c:pt>
                <c:pt idx="22">
                  <c:v>2835.6481481481483</c:v>
                </c:pt>
                <c:pt idx="23">
                  <c:v>4726.0802469135815</c:v>
                </c:pt>
              </c:numCache>
            </c:numRef>
          </c:xVal>
          <c:yVal>
            <c:numRef>
              <c:f>Table13[Tassement 1(t)]</c:f>
              <c:numCache>
                <c:formatCode>0.00</c:formatCode>
                <c:ptCount val="24"/>
                <c:pt idx="0">
                  <c:v>7.0714285714285714E-3</c:v>
                </c:pt>
                <c:pt idx="1">
                  <c:v>7.2669105732747503E-3</c:v>
                </c:pt>
                <c:pt idx="2">
                  <c:v>7.3490130140501453E-3</c:v>
                </c:pt>
                <c:pt idx="3">
                  <c:v>7.4623925751209292E-3</c:v>
                </c:pt>
                <c:pt idx="4">
                  <c:v>7.5562239360070947E-3</c:v>
                </c:pt>
                <c:pt idx="5">
                  <c:v>7.6578745769671072E-3</c:v>
                </c:pt>
                <c:pt idx="6">
                  <c:v>7.696970977336343E-3</c:v>
                </c:pt>
                <c:pt idx="7">
                  <c:v>2.1003215551951761E-2</c:v>
                </c:pt>
                <c:pt idx="8">
                  <c:v>2.1046221592357924E-2</c:v>
                </c:pt>
                <c:pt idx="9">
                  <c:v>2.1241703594204103E-2</c:v>
                </c:pt>
                <c:pt idx="10">
                  <c:v>3.4630050609594912E-2</c:v>
                </c:pt>
                <c:pt idx="11">
                  <c:v>4.8018397624985734E-2</c:v>
                </c:pt>
                <c:pt idx="12">
                  <c:v>6.1406744640376543E-2</c:v>
                </c:pt>
                <c:pt idx="13">
                  <c:v>7.4795091655767365E-2</c:v>
                </c:pt>
                <c:pt idx="14">
                  <c:v>8.8183438671158174E-2</c:v>
                </c:pt>
                <c:pt idx="15">
                  <c:v>0.10157178568654898</c:v>
                </c:pt>
                <c:pt idx="16">
                  <c:v>0.1149601327019398</c:v>
                </c:pt>
                <c:pt idx="17">
                  <c:v>0.12854396171917679</c:v>
                </c:pt>
                <c:pt idx="18">
                  <c:v>0.14193230873456758</c:v>
                </c:pt>
                <c:pt idx="19">
                  <c:v>0.15532065574995843</c:v>
                </c:pt>
                <c:pt idx="20">
                  <c:v>0.16870900276534928</c:v>
                </c:pt>
                <c:pt idx="21">
                  <c:v>0.18209734978073999</c:v>
                </c:pt>
                <c:pt idx="22">
                  <c:v>0.19284712379342198</c:v>
                </c:pt>
                <c:pt idx="23">
                  <c:v>0.19300350939489891</c:v>
                </c:pt>
              </c:numCache>
            </c:numRef>
          </c:yVal>
          <c:smooth val="0"/>
        </c:ser>
        <c:ser>
          <c:idx val="1"/>
          <c:order val="1"/>
          <c:tx>
            <c:v>x=20</c:v>
          </c:tx>
          <c:marker>
            <c:symbol val="none"/>
          </c:marker>
          <c:xVal>
            <c:numRef>
              <c:f>Table13[t]</c:f>
              <c:numCache>
                <c:formatCode>0.00E+00</c:formatCode>
                <c:ptCount val="24"/>
                <c:pt idx="0">
                  <c:v>0</c:v>
                </c:pt>
                <c:pt idx="1">
                  <c:v>4.7260802469135816</c:v>
                </c:pt>
                <c:pt idx="2">
                  <c:v>9.4521604938271633</c:v>
                </c:pt>
                <c:pt idx="3">
                  <c:v>18.904320987654327</c:v>
                </c:pt>
                <c:pt idx="4">
                  <c:v>28.356481481481488</c:v>
                </c:pt>
                <c:pt idx="5">
                  <c:v>42.534722222222229</c:v>
                </c:pt>
                <c:pt idx="6">
                  <c:v>47.260802469135811</c:v>
                </c:pt>
                <c:pt idx="7">
                  <c:v>66.165123456790141</c:v>
                </c:pt>
                <c:pt idx="8">
                  <c:v>70.891203703703709</c:v>
                </c:pt>
                <c:pt idx="9">
                  <c:v>115.78896604938274</c:v>
                </c:pt>
                <c:pt idx="10">
                  <c:v>165.41280864197535</c:v>
                </c:pt>
                <c:pt idx="11">
                  <c:v>226.8518518518519</c:v>
                </c:pt>
                <c:pt idx="12">
                  <c:v>307.19521604938279</c:v>
                </c:pt>
                <c:pt idx="13">
                  <c:v>375.72337962962973</c:v>
                </c:pt>
                <c:pt idx="14">
                  <c:v>472.60802469135814</c:v>
                </c:pt>
                <c:pt idx="15">
                  <c:v>564.76658950617298</c:v>
                </c:pt>
                <c:pt idx="16">
                  <c:v>675.82947530864203</c:v>
                </c:pt>
                <c:pt idx="17">
                  <c:v>952.3051697530866</c:v>
                </c:pt>
                <c:pt idx="18">
                  <c:v>1127.1701388888891</c:v>
                </c:pt>
                <c:pt idx="19">
                  <c:v>1346.9328703703704</c:v>
                </c:pt>
                <c:pt idx="20">
                  <c:v>1616.3194444444448</c:v>
                </c:pt>
                <c:pt idx="21">
                  <c:v>2008.5841049382718</c:v>
                </c:pt>
                <c:pt idx="22">
                  <c:v>2835.6481481481483</c:v>
                </c:pt>
                <c:pt idx="23">
                  <c:v>4726.0802469135815</c:v>
                </c:pt>
              </c:numCache>
            </c:numRef>
          </c:xVal>
          <c:yVal>
            <c:numRef>
              <c:f>Table13[Tassement 2 (t)]</c:f>
              <c:numCache>
                <c:formatCode>0.00</c:formatCode>
                <c:ptCount val="24"/>
                <c:pt idx="0">
                  <c:v>6.9999999999999993E-3</c:v>
                </c:pt>
                <c:pt idx="1">
                  <c:v>7.3399999999999993E-3</c:v>
                </c:pt>
                <c:pt idx="2">
                  <c:v>7.4827999999999995E-3</c:v>
                </c:pt>
                <c:pt idx="3">
                  <c:v>7.6799999999999993E-3</c:v>
                </c:pt>
                <c:pt idx="4">
                  <c:v>7.8431999999999981E-3</c:v>
                </c:pt>
                <c:pt idx="5">
                  <c:v>8.0199999999999994E-3</c:v>
                </c:pt>
                <c:pt idx="6">
                  <c:v>8.087999999999998E-3</c:v>
                </c:pt>
                <c:pt idx="7">
                  <c:v>2.0285199999999982E-2</c:v>
                </c:pt>
                <c:pt idx="8">
                  <c:v>2.0359999999999982E-2</c:v>
                </c:pt>
                <c:pt idx="9">
                  <c:v>2.0699999999999982E-2</c:v>
                </c:pt>
                <c:pt idx="10">
                  <c:v>3.3039999999999993E-2</c:v>
                </c:pt>
                <c:pt idx="11">
                  <c:v>4.5379999999999976E-2</c:v>
                </c:pt>
                <c:pt idx="12">
                  <c:v>5.7719999999999987E-2</c:v>
                </c:pt>
                <c:pt idx="13">
                  <c:v>7.0059999999999997E-2</c:v>
                </c:pt>
                <c:pt idx="14">
                  <c:v>8.2399999999999973E-2</c:v>
                </c:pt>
                <c:pt idx="15">
                  <c:v>9.4739999999999991E-2</c:v>
                </c:pt>
                <c:pt idx="16">
                  <c:v>0.10707999999999997</c:v>
                </c:pt>
                <c:pt idx="17">
                  <c:v>0.11975999999999998</c:v>
                </c:pt>
                <c:pt idx="18">
                  <c:v>0.1321</c:v>
                </c:pt>
                <c:pt idx="19">
                  <c:v>0.14443999999999996</c:v>
                </c:pt>
                <c:pt idx="20">
                  <c:v>0.15677999999999995</c:v>
                </c:pt>
                <c:pt idx="21">
                  <c:v>0.16911999999999996</c:v>
                </c:pt>
                <c:pt idx="22">
                  <c:v>0.17905999999999997</c:v>
                </c:pt>
                <c:pt idx="23">
                  <c:v>0.17933199999999996</c:v>
                </c:pt>
              </c:numCache>
            </c:numRef>
          </c:yVal>
          <c:smooth val="0"/>
        </c:ser>
        <c:ser>
          <c:idx val="2"/>
          <c:order val="2"/>
          <c:tx>
            <c:v>x=40</c:v>
          </c:tx>
          <c:marker>
            <c:symbol val="none"/>
          </c:marker>
          <c:xVal>
            <c:numRef>
              <c:f>Table13[t]</c:f>
              <c:numCache>
                <c:formatCode>0.00E+00</c:formatCode>
                <c:ptCount val="24"/>
                <c:pt idx="0">
                  <c:v>0</c:v>
                </c:pt>
                <c:pt idx="1">
                  <c:v>4.7260802469135816</c:v>
                </c:pt>
                <c:pt idx="2">
                  <c:v>9.4521604938271633</c:v>
                </c:pt>
                <c:pt idx="3">
                  <c:v>18.904320987654327</c:v>
                </c:pt>
                <c:pt idx="4">
                  <c:v>28.356481481481488</c:v>
                </c:pt>
                <c:pt idx="5">
                  <c:v>42.534722222222229</c:v>
                </c:pt>
                <c:pt idx="6">
                  <c:v>47.260802469135811</c:v>
                </c:pt>
                <c:pt idx="7">
                  <c:v>66.165123456790141</c:v>
                </c:pt>
                <c:pt idx="8">
                  <c:v>70.891203703703709</c:v>
                </c:pt>
                <c:pt idx="9">
                  <c:v>115.78896604938274</c:v>
                </c:pt>
                <c:pt idx="10">
                  <c:v>165.41280864197535</c:v>
                </c:pt>
                <c:pt idx="11">
                  <c:v>226.8518518518519</c:v>
                </c:pt>
                <c:pt idx="12">
                  <c:v>307.19521604938279</c:v>
                </c:pt>
                <c:pt idx="13">
                  <c:v>375.72337962962973</c:v>
                </c:pt>
                <c:pt idx="14">
                  <c:v>472.60802469135814</c:v>
                </c:pt>
                <c:pt idx="15">
                  <c:v>564.76658950617298</c:v>
                </c:pt>
                <c:pt idx="16">
                  <c:v>675.82947530864203</c:v>
                </c:pt>
                <c:pt idx="17">
                  <c:v>952.3051697530866</c:v>
                </c:pt>
                <c:pt idx="18">
                  <c:v>1127.1701388888891</c:v>
                </c:pt>
                <c:pt idx="19">
                  <c:v>1346.9328703703704</c:v>
                </c:pt>
                <c:pt idx="20">
                  <c:v>1616.3194444444448</c:v>
                </c:pt>
                <c:pt idx="21">
                  <c:v>2008.5841049382718</c:v>
                </c:pt>
                <c:pt idx="22">
                  <c:v>2835.6481481481483</c:v>
                </c:pt>
                <c:pt idx="23">
                  <c:v>4726.0802469135815</c:v>
                </c:pt>
              </c:numCache>
            </c:numRef>
          </c:xVal>
          <c:yVal>
            <c:numRef>
              <c:f>Table13[Tassement 3 (t)]</c:f>
              <c:numCache>
                <c:formatCode>0.00</c:formatCode>
                <c:ptCount val="24"/>
                <c:pt idx="0">
                  <c:v>6.9285714285714298E-3</c:v>
                </c:pt>
                <c:pt idx="1">
                  <c:v>7.1585714285714291E-3</c:v>
                </c:pt>
                <c:pt idx="2">
                  <c:v>7.2551714285714296E-3</c:v>
                </c:pt>
                <c:pt idx="3">
                  <c:v>7.3885714285714301E-3</c:v>
                </c:pt>
                <c:pt idx="4">
                  <c:v>7.4989714285714285E-3</c:v>
                </c:pt>
                <c:pt idx="5">
                  <c:v>7.6185714285714294E-3</c:v>
                </c:pt>
                <c:pt idx="6">
                  <c:v>7.6645714285714286E-3</c:v>
                </c:pt>
                <c:pt idx="7">
                  <c:v>1.8797971428571411E-2</c:v>
                </c:pt>
                <c:pt idx="8">
                  <c:v>1.8848571428571409E-2</c:v>
                </c:pt>
                <c:pt idx="9">
                  <c:v>1.907857142857141E-2</c:v>
                </c:pt>
                <c:pt idx="10">
                  <c:v>3.0308571428571421E-2</c:v>
                </c:pt>
                <c:pt idx="11">
                  <c:v>4.1538571428571432E-2</c:v>
                </c:pt>
                <c:pt idx="12">
                  <c:v>5.2768571428571415E-2</c:v>
                </c:pt>
                <c:pt idx="13">
                  <c:v>6.3998571428571419E-2</c:v>
                </c:pt>
                <c:pt idx="14">
                  <c:v>7.5228571428571436E-2</c:v>
                </c:pt>
                <c:pt idx="15">
                  <c:v>8.645857142857144E-2</c:v>
                </c:pt>
                <c:pt idx="16">
                  <c:v>9.768857142857143E-2</c:v>
                </c:pt>
                <c:pt idx="17">
                  <c:v>0.10914857142857143</c:v>
                </c:pt>
                <c:pt idx="18">
                  <c:v>0.12037857142857145</c:v>
                </c:pt>
                <c:pt idx="19">
                  <c:v>0.13160857142857144</c:v>
                </c:pt>
                <c:pt idx="20">
                  <c:v>0.14283857142857143</c:v>
                </c:pt>
                <c:pt idx="21">
                  <c:v>0.15406857142857139</c:v>
                </c:pt>
                <c:pt idx="22">
                  <c:v>0.16309857142857143</c:v>
                </c:pt>
                <c:pt idx="23">
                  <c:v>0.16328257142857142</c:v>
                </c:pt>
              </c:numCache>
            </c:numRef>
          </c:yVal>
          <c:smooth val="0"/>
        </c:ser>
        <c:ser>
          <c:idx val="3"/>
          <c:order val="3"/>
          <c:tx>
            <c:v>x=50</c:v>
          </c:tx>
          <c:marker>
            <c:symbol val="none"/>
          </c:marker>
          <c:xVal>
            <c:numRef>
              <c:f>Table13[t]</c:f>
              <c:numCache>
                <c:formatCode>0.00E+00</c:formatCode>
                <c:ptCount val="24"/>
                <c:pt idx="0">
                  <c:v>0</c:v>
                </c:pt>
                <c:pt idx="1">
                  <c:v>4.7260802469135816</c:v>
                </c:pt>
                <c:pt idx="2">
                  <c:v>9.4521604938271633</c:v>
                </c:pt>
                <c:pt idx="3">
                  <c:v>18.904320987654327</c:v>
                </c:pt>
                <c:pt idx="4">
                  <c:v>28.356481481481488</c:v>
                </c:pt>
                <c:pt idx="5">
                  <c:v>42.534722222222229</c:v>
                </c:pt>
                <c:pt idx="6">
                  <c:v>47.260802469135811</c:v>
                </c:pt>
                <c:pt idx="7">
                  <c:v>66.165123456790141</c:v>
                </c:pt>
                <c:pt idx="8">
                  <c:v>70.891203703703709</c:v>
                </c:pt>
                <c:pt idx="9">
                  <c:v>115.78896604938274</c:v>
                </c:pt>
                <c:pt idx="10">
                  <c:v>165.41280864197535</c:v>
                </c:pt>
                <c:pt idx="11">
                  <c:v>226.8518518518519</c:v>
                </c:pt>
                <c:pt idx="12">
                  <c:v>307.19521604938279</c:v>
                </c:pt>
                <c:pt idx="13">
                  <c:v>375.72337962962973</c:v>
                </c:pt>
                <c:pt idx="14">
                  <c:v>472.60802469135814</c:v>
                </c:pt>
                <c:pt idx="15">
                  <c:v>564.76658950617298</c:v>
                </c:pt>
                <c:pt idx="16">
                  <c:v>675.82947530864203</c:v>
                </c:pt>
                <c:pt idx="17">
                  <c:v>952.3051697530866</c:v>
                </c:pt>
                <c:pt idx="18">
                  <c:v>1127.1701388888891</c:v>
                </c:pt>
                <c:pt idx="19">
                  <c:v>1346.9328703703704</c:v>
                </c:pt>
                <c:pt idx="20">
                  <c:v>1616.3194444444448</c:v>
                </c:pt>
                <c:pt idx="21">
                  <c:v>2008.5841049382718</c:v>
                </c:pt>
                <c:pt idx="22">
                  <c:v>2835.6481481481483</c:v>
                </c:pt>
                <c:pt idx="23">
                  <c:v>4726.0802469135815</c:v>
                </c:pt>
              </c:numCache>
            </c:numRef>
          </c:xVal>
          <c:yVal>
            <c:numRef>
              <c:f>Table13[Tassement 4(t)]</c:f>
              <c:numCache>
                <c:formatCode>0.00</c:formatCode>
                <c:ptCount val="24"/>
                <c:pt idx="0">
                  <c:v>6.8928571428571424E-3</c:v>
                </c:pt>
                <c:pt idx="1">
                  <c:v>7.1278571428571424E-3</c:v>
                </c:pt>
                <c:pt idx="2">
                  <c:v>7.2265571428571426E-3</c:v>
                </c:pt>
                <c:pt idx="3">
                  <c:v>7.3628571428571423E-3</c:v>
                </c:pt>
                <c:pt idx="4">
                  <c:v>7.475657142857142E-3</c:v>
                </c:pt>
                <c:pt idx="5">
                  <c:v>7.5978571428571423E-3</c:v>
                </c:pt>
                <c:pt idx="6">
                  <c:v>7.6448571428571425E-3</c:v>
                </c:pt>
                <c:pt idx="7">
                  <c:v>1.8281157142857139E-2</c:v>
                </c:pt>
                <c:pt idx="8">
                  <c:v>1.8332857142857137E-2</c:v>
                </c:pt>
                <c:pt idx="9">
                  <c:v>1.8567857142857136E-2</c:v>
                </c:pt>
                <c:pt idx="10">
                  <c:v>2.9302857142857144E-2</c:v>
                </c:pt>
                <c:pt idx="11">
                  <c:v>4.0037857142857153E-2</c:v>
                </c:pt>
                <c:pt idx="12">
                  <c:v>5.0772857142857133E-2</c:v>
                </c:pt>
                <c:pt idx="13">
                  <c:v>6.1507857142857149E-2</c:v>
                </c:pt>
                <c:pt idx="14">
                  <c:v>7.2242857142857123E-2</c:v>
                </c:pt>
                <c:pt idx="15">
                  <c:v>8.2977857142857131E-2</c:v>
                </c:pt>
                <c:pt idx="16">
                  <c:v>9.3712857142857153E-2</c:v>
                </c:pt>
                <c:pt idx="17">
                  <c:v>0.10468285714285716</c:v>
                </c:pt>
                <c:pt idx="18">
                  <c:v>0.11541785714285717</c:v>
                </c:pt>
                <c:pt idx="19">
                  <c:v>0.12615285714285712</c:v>
                </c:pt>
                <c:pt idx="20">
                  <c:v>0.13688785714285714</c:v>
                </c:pt>
                <c:pt idx="21">
                  <c:v>0.14762285714285714</c:v>
                </c:pt>
                <c:pt idx="22">
                  <c:v>0.15625785714285717</c:v>
                </c:pt>
                <c:pt idx="23">
                  <c:v>0.15644585714285716</c:v>
                </c:pt>
              </c:numCache>
            </c:numRef>
          </c:yVal>
          <c:smooth val="0"/>
        </c:ser>
        <c:ser>
          <c:idx val="4"/>
          <c:order val="4"/>
          <c:tx>
            <c:v>x=85</c:v>
          </c:tx>
          <c:marker>
            <c:symbol val="none"/>
          </c:marker>
          <c:xVal>
            <c:numRef>
              <c:f>Table13[t]</c:f>
              <c:numCache>
                <c:formatCode>0.00E+00</c:formatCode>
                <c:ptCount val="24"/>
                <c:pt idx="0">
                  <c:v>0</c:v>
                </c:pt>
                <c:pt idx="1">
                  <c:v>4.7260802469135816</c:v>
                </c:pt>
                <c:pt idx="2">
                  <c:v>9.4521604938271633</c:v>
                </c:pt>
                <c:pt idx="3">
                  <c:v>18.904320987654327</c:v>
                </c:pt>
                <c:pt idx="4">
                  <c:v>28.356481481481488</c:v>
                </c:pt>
                <c:pt idx="5">
                  <c:v>42.534722222222229</c:v>
                </c:pt>
                <c:pt idx="6">
                  <c:v>47.260802469135811</c:v>
                </c:pt>
                <c:pt idx="7">
                  <c:v>66.165123456790141</c:v>
                </c:pt>
                <c:pt idx="8">
                  <c:v>70.891203703703709</c:v>
                </c:pt>
                <c:pt idx="9">
                  <c:v>115.78896604938274</c:v>
                </c:pt>
                <c:pt idx="10">
                  <c:v>165.41280864197535</c:v>
                </c:pt>
                <c:pt idx="11">
                  <c:v>226.8518518518519</c:v>
                </c:pt>
                <c:pt idx="12">
                  <c:v>307.19521604938279</c:v>
                </c:pt>
                <c:pt idx="13">
                  <c:v>375.72337962962973</c:v>
                </c:pt>
                <c:pt idx="14">
                  <c:v>472.60802469135814</c:v>
                </c:pt>
                <c:pt idx="15">
                  <c:v>564.76658950617298</c:v>
                </c:pt>
                <c:pt idx="16">
                  <c:v>675.82947530864203</c:v>
                </c:pt>
                <c:pt idx="17">
                  <c:v>952.3051697530866</c:v>
                </c:pt>
                <c:pt idx="18">
                  <c:v>1127.1701388888891</c:v>
                </c:pt>
                <c:pt idx="19">
                  <c:v>1346.9328703703704</c:v>
                </c:pt>
                <c:pt idx="20">
                  <c:v>1616.3194444444448</c:v>
                </c:pt>
                <c:pt idx="21">
                  <c:v>2008.5841049382718</c:v>
                </c:pt>
                <c:pt idx="22">
                  <c:v>2835.6481481481483</c:v>
                </c:pt>
                <c:pt idx="23">
                  <c:v>4726.0802469135815</c:v>
                </c:pt>
              </c:numCache>
            </c:numRef>
          </c:xVal>
          <c:yVal>
            <c:numRef>
              <c:f>Table13[Tassement 5(t)]</c:f>
              <c:numCache>
                <c:formatCode>0.00</c:formatCode>
                <c:ptCount val="24"/>
                <c:pt idx="0">
                  <c:v>6.767857142857144E-3</c:v>
                </c:pt>
                <c:pt idx="1">
                  <c:v>7.0228571428571441E-3</c:v>
                </c:pt>
                <c:pt idx="2">
                  <c:v>7.1299571428571438E-3</c:v>
                </c:pt>
                <c:pt idx="3">
                  <c:v>7.2778571428571441E-3</c:v>
                </c:pt>
                <c:pt idx="4">
                  <c:v>7.400257142857144E-3</c:v>
                </c:pt>
                <c:pt idx="5">
                  <c:v>7.5328571428571441E-3</c:v>
                </c:pt>
                <c:pt idx="6">
                  <c:v>7.5838571428571439E-3</c:v>
                </c:pt>
                <c:pt idx="7">
                  <c:v>1.4731757142857151E-2</c:v>
                </c:pt>
                <c:pt idx="8">
                  <c:v>1.4787857142857151E-2</c:v>
                </c:pt>
                <c:pt idx="9">
                  <c:v>1.5042857142857149E-2</c:v>
                </c:pt>
                <c:pt idx="10">
                  <c:v>2.2297857142857154E-2</c:v>
                </c:pt>
                <c:pt idx="11">
                  <c:v>2.9552857142857162E-2</c:v>
                </c:pt>
                <c:pt idx="12">
                  <c:v>3.6807857142857142E-2</c:v>
                </c:pt>
                <c:pt idx="13">
                  <c:v>4.4062857142857147E-2</c:v>
                </c:pt>
                <c:pt idx="14">
                  <c:v>5.1317857142857151E-2</c:v>
                </c:pt>
                <c:pt idx="15">
                  <c:v>5.8572857142857163E-2</c:v>
                </c:pt>
                <c:pt idx="16">
                  <c:v>6.5827857142857132E-2</c:v>
                </c:pt>
                <c:pt idx="17">
                  <c:v>7.3337857142857149E-2</c:v>
                </c:pt>
                <c:pt idx="18">
                  <c:v>8.0592857142857147E-2</c:v>
                </c:pt>
                <c:pt idx="19">
                  <c:v>8.7847857142857158E-2</c:v>
                </c:pt>
                <c:pt idx="20">
                  <c:v>9.5102857142857156E-2</c:v>
                </c:pt>
                <c:pt idx="21">
                  <c:v>0.10235785714285714</c:v>
                </c:pt>
                <c:pt idx="22">
                  <c:v>0.10821285714285714</c:v>
                </c:pt>
                <c:pt idx="23">
                  <c:v>0.10841685714285713</c:v>
                </c:pt>
              </c:numCache>
            </c:numRef>
          </c:yVal>
          <c:smooth val="0"/>
        </c:ser>
        <c:ser>
          <c:idx val="5"/>
          <c:order val="5"/>
          <c:tx>
            <c:v>x=120</c:v>
          </c:tx>
          <c:marker>
            <c:symbol val="none"/>
          </c:marker>
          <c:xVal>
            <c:numRef>
              <c:f>Table13[t]</c:f>
              <c:numCache>
                <c:formatCode>0.00E+00</c:formatCode>
                <c:ptCount val="24"/>
                <c:pt idx="0">
                  <c:v>0</c:v>
                </c:pt>
                <c:pt idx="1">
                  <c:v>4.7260802469135816</c:v>
                </c:pt>
                <c:pt idx="2">
                  <c:v>9.4521604938271633</c:v>
                </c:pt>
                <c:pt idx="3">
                  <c:v>18.904320987654327</c:v>
                </c:pt>
                <c:pt idx="4">
                  <c:v>28.356481481481488</c:v>
                </c:pt>
                <c:pt idx="5">
                  <c:v>42.534722222222229</c:v>
                </c:pt>
                <c:pt idx="6">
                  <c:v>47.260802469135811</c:v>
                </c:pt>
                <c:pt idx="7">
                  <c:v>66.165123456790141</c:v>
                </c:pt>
                <c:pt idx="8">
                  <c:v>70.891203703703709</c:v>
                </c:pt>
                <c:pt idx="9">
                  <c:v>115.78896604938274</c:v>
                </c:pt>
                <c:pt idx="10">
                  <c:v>165.41280864197535</c:v>
                </c:pt>
                <c:pt idx="11">
                  <c:v>226.8518518518519</c:v>
                </c:pt>
                <c:pt idx="12">
                  <c:v>307.19521604938279</c:v>
                </c:pt>
                <c:pt idx="13">
                  <c:v>375.72337962962973</c:v>
                </c:pt>
                <c:pt idx="14">
                  <c:v>472.60802469135814</c:v>
                </c:pt>
                <c:pt idx="15">
                  <c:v>564.76658950617298</c:v>
                </c:pt>
                <c:pt idx="16">
                  <c:v>675.82947530864203</c:v>
                </c:pt>
                <c:pt idx="17">
                  <c:v>952.3051697530866</c:v>
                </c:pt>
                <c:pt idx="18">
                  <c:v>1127.1701388888891</c:v>
                </c:pt>
                <c:pt idx="19">
                  <c:v>1346.9328703703704</c:v>
                </c:pt>
                <c:pt idx="20">
                  <c:v>1616.3194444444448</c:v>
                </c:pt>
                <c:pt idx="21">
                  <c:v>2008.5841049382718</c:v>
                </c:pt>
                <c:pt idx="22">
                  <c:v>2835.6481481481483</c:v>
                </c:pt>
                <c:pt idx="23">
                  <c:v>4726.0802469135815</c:v>
                </c:pt>
              </c:numCache>
            </c:numRef>
          </c:xVal>
          <c:yVal>
            <c:numRef>
              <c:f>Table13[Tassement 6(t)]</c:f>
              <c:numCache>
                <c:formatCode>0.00</c:formatCode>
                <c:ptCount val="24"/>
                <c:pt idx="0">
                  <c:v>6.6428571428571431E-3</c:v>
                </c:pt>
                <c:pt idx="1">
                  <c:v>6.9228571428571421E-3</c:v>
                </c:pt>
                <c:pt idx="2">
                  <c:v>7.0404571428571427E-3</c:v>
                </c:pt>
                <c:pt idx="3">
                  <c:v>7.2028571428571428E-3</c:v>
                </c:pt>
                <c:pt idx="4">
                  <c:v>7.3372571428571426E-3</c:v>
                </c:pt>
                <c:pt idx="5">
                  <c:v>7.4828571428571418E-3</c:v>
                </c:pt>
                <c:pt idx="6">
                  <c:v>7.5388571428571423E-3</c:v>
                </c:pt>
                <c:pt idx="7">
                  <c:v>1.0201257142857138E-2</c:v>
                </c:pt>
                <c:pt idx="8">
                  <c:v>1.0262857142857138E-2</c:v>
                </c:pt>
                <c:pt idx="9">
                  <c:v>1.0542857142857137E-2</c:v>
                </c:pt>
                <c:pt idx="10">
                  <c:v>1.3322857142857147E-2</c:v>
                </c:pt>
                <c:pt idx="11">
                  <c:v>1.6102857142857141E-2</c:v>
                </c:pt>
                <c:pt idx="12">
                  <c:v>1.8882857142857146E-2</c:v>
                </c:pt>
                <c:pt idx="13">
                  <c:v>2.1662857142857147E-2</c:v>
                </c:pt>
                <c:pt idx="14">
                  <c:v>2.4442857142857141E-2</c:v>
                </c:pt>
                <c:pt idx="15">
                  <c:v>2.7222857142857146E-2</c:v>
                </c:pt>
                <c:pt idx="16">
                  <c:v>3.0002857142857137E-2</c:v>
                </c:pt>
                <c:pt idx="17">
                  <c:v>3.3062857142857151E-2</c:v>
                </c:pt>
                <c:pt idx="18">
                  <c:v>3.5842857142857149E-2</c:v>
                </c:pt>
                <c:pt idx="19">
                  <c:v>3.8622857142857146E-2</c:v>
                </c:pt>
                <c:pt idx="20">
                  <c:v>4.1402857142857144E-2</c:v>
                </c:pt>
                <c:pt idx="21">
                  <c:v>4.4182857142857135E-2</c:v>
                </c:pt>
                <c:pt idx="22">
                  <c:v>4.6462857142857139E-2</c:v>
                </c:pt>
                <c:pt idx="23">
                  <c:v>4.6686857142857141E-2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19872"/>
        <c:axId val="48330240"/>
      </c:scatterChart>
      <c:valAx>
        <c:axId val="48319872"/>
        <c:scaling>
          <c:logBase val="10"/>
          <c:orientation val="minMax"/>
          <c:min val="5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Temps (jours)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48330240"/>
        <c:crosses val="autoZero"/>
        <c:crossBetween val="midCat"/>
      </c:valAx>
      <c:valAx>
        <c:axId val="4833024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Tassement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48319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712356</xdr:colOff>
      <xdr:row>52</xdr:row>
      <xdr:rowOff>103909</xdr:rowOff>
    </xdr:from>
    <xdr:to>
      <xdr:col>26</xdr:col>
      <xdr:colOff>211283</xdr:colOff>
      <xdr:row>76</xdr:row>
      <xdr:rowOff>79661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122092</xdr:colOff>
      <xdr:row>78</xdr:row>
      <xdr:rowOff>53686</xdr:rowOff>
    </xdr:from>
    <xdr:to>
      <xdr:col>23</xdr:col>
      <xdr:colOff>201756</xdr:colOff>
      <xdr:row>101</xdr:row>
      <xdr:rowOff>196561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1152525</xdr:colOff>
      <xdr:row>77</xdr:row>
      <xdr:rowOff>95250</xdr:rowOff>
    </xdr:from>
    <xdr:to>
      <xdr:col>8</xdr:col>
      <xdr:colOff>952500</xdr:colOff>
      <xdr:row>79</xdr:row>
      <xdr:rowOff>38100</xdr:rowOff>
    </xdr:to>
    <xdr:sp macro="" textlink="">
      <xdr:nvSpPr>
        <xdr:cNvPr id="4" name="ZoneTexte 1"/>
        <xdr:cNvSpPr txBox="1"/>
      </xdr:nvSpPr>
      <xdr:spPr>
        <a:xfrm>
          <a:off x="9505950" y="18602325"/>
          <a:ext cx="1047750" cy="34290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fr-FR" sz="800" b="1">
              <a:solidFill>
                <a:schemeClr val="bg1"/>
              </a:solidFill>
            </a:rPr>
            <a:t>Remblai</a:t>
          </a:r>
        </a:p>
      </xdr:txBody>
    </xdr:sp>
    <xdr:clientData/>
  </xdr:twoCellAnchor>
  <xdr:twoCellAnchor>
    <xdr:from>
      <xdr:col>7</xdr:col>
      <xdr:colOff>1095375</xdr:colOff>
      <xdr:row>79</xdr:row>
      <xdr:rowOff>171450</xdr:rowOff>
    </xdr:from>
    <xdr:to>
      <xdr:col>8</xdr:col>
      <xdr:colOff>895350</xdr:colOff>
      <xdr:row>81</xdr:row>
      <xdr:rowOff>114300</xdr:rowOff>
    </xdr:to>
    <xdr:sp macro="" textlink="">
      <xdr:nvSpPr>
        <xdr:cNvPr id="5" name="ZoneTexte 1"/>
        <xdr:cNvSpPr txBox="1"/>
      </xdr:nvSpPr>
      <xdr:spPr>
        <a:xfrm>
          <a:off x="9442739" y="19966132"/>
          <a:ext cx="1046884" cy="358486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fr-FR" sz="800" b="1">
              <a:solidFill>
                <a:schemeClr val="bg1"/>
              </a:solidFill>
            </a:rPr>
            <a:t>Alluvions argilo-vasardes</a:t>
          </a:r>
        </a:p>
      </xdr:txBody>
    </xdr:sp>
    <xdr:clientData/>
  </xdr:twoCellAnchor>
  <xdr:twoCellAnchor>
    <xdr:from>
      <xdr:col>6</xdr:col>
      <xdr:colOff>1066800</xdr:colOff>
      <xdr:row>82</xdr:row>
      <xdr:rowOff>19050</xdr:rowOff>
    </xdr:from>
    <xdr:to>
      <xdr:col>7</xdr:col>
      <xdr:colOff>866775</xdr:colOff>
      <xdr:row>83</xdr:row>
      <xdr:rowOff>161925</xdr:rowOff>
    </xdr:to>
    <xdr:sp macro="" textlink="">
      <xdr:nvSpPr>
        <xdr:cNvPr id="6" name="ZoneTexte 1"/>
        <xdr:cNvSpPr txBox="1"/>
      </xdr:nvSpPr>
      <xdr:spPr>
        <a:xfrm>
          <a:off x="9420225" y="19526250"/>
          <a:ext cx="1047750" cy="34290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fr-FR" sz="800" b="1">
              <a:solidFill>
                <a:schemeClr val="bg1"/>
              </a:solidFill>
            </a:rPr>
            <a:t>Alluvions</a:t>
          </a:r>
          <a:r>
            <a:rPr lang="fr-FR" sz="800" b="1" baseline="0">
              <a:solidFill>
                <a:schemeClr val="bg1"/>
              </a:solidFill>
            </a:rPr>
            <a:t> sableuses</a:t>
          </a:r>
          <a:endParaRPr lang="fr-FR" sz="800" b="1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1152525</xdr:colOff>
      <xdr:row>84</xdr:row>
      <xdr:rowOff>19050</xdr:rowOff>
    </xdr:from>
    <xdr:to>
      <xdr:col>7</xdr:col>
      <xdr:colOff>952500</xdr:colOff>
      <xdr:row>85</xdr:row>
      <xdr:rowOff>161925</xdr:rowOff>
    </xdr:to>
    <xdr:sp macro="" textlink="">
      <xdr:nvSpPr>
        <xdr:cNvPr id="7" name="ZoneTexte 1"/>
        <xdr:cNvSpPr txBox="1"/>
      </xdr:nvSpPr>
      <xdr:spPr>
        <a:xfrm>
          <a:off x="9505950" y="19926300"/>
          <a:ext cx="1047750" cy="34290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fr-FR" sz="800" b="1">
              <a:solidFill>
                <a:schemeClr val="bg1"/>
              </a:solidFill>
            </a:rPr>
            <a:t>Calcaire</a:t>
          </a:r>
          <a:r>
            <a:rPr lang="fr-FR" sz="800" b="1" baseline="0">
              <a:solidFill>
                <a:schemeClr val="bg1"/>
              </a:solidFill>
            </a:rPr>
            <a:t> altéré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0.95461</cdr:x>
      <cdr:y>0.53614</cdr:y>
    </cdr:from>
    <cdr:to>
      <cdr:x>0.95603</cdr:x>
      <cdr:y>0.9498</cdr:y>
    </cdr:to>
    <cdr:cxnSp macro="">
      <cdr:nvCxnSpPr>
        <cdr:cNvPr id="12" name="Connecteur droit 11"/>
        <cdr:cNvCxnSpPr/>
      </cdr:nvCxnSpPr>
      <cdr:spPr>
        <a:xfrm xmlns:a="http://schemas.openxmlformats.org/drawingml/2006/main">
          <a:off x="6410326" y="2543175"/>
          <a:ext cx="9525" cy="196215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0.06383</cdr:x>
      <cdr:y>0.2751</cdr:y>
    </cdr:from>
    <cdr:to>
      <cdr:x>0.96738</cdr:x>
      <cdr:y>0.93775</cdr:y>
    </cdr:to>
    <cdr:grpSp>
      <cdr:nvGrpSpPr>
        <cdr:cNvPr id="26" name="Groupe 25"/>
        <cdr:cNvGrpSpPr/>
      </cdr:nvGrpSpPr>
      <cdr:grpSpPr>
        <a:xfrm xmlns:a="http://schemas.openxmlformats.org/drawingml/2006/main">
          <a:off x="429566" y="1354235"/>
          <a:ext cx="6080725" cy="3262025"/>
          <a:chOff x="409576" y="1333500"/>
          <a:chExt cx="6076950" cy="3143250"/>
        </a:xfrm>
      </cdr:grpSpPr>
      <cdr:sp macro="" textlink="">
        <cdr:nvSpPr>
          <cdr:cNvPr id="17" name="Forme libre 16"/>
          <cdr:cNvSpPr/>
        </cdr:nvSpPr>
        <cdr:spPr>
          <a:xfrm xmlns:a="http://schemas.openxmlformats.org/drawingml/2006/main">
            <a:off x="438151" y="1333500"/>
            <a:ext cx="6029325" cy="1447800"/>
          </a:xfrm>
          <a:custGeom xmlns:a="http://schemas.openxmlformats.org/drawingml/2006/main">
            <a:avLst/>
            <a:gdLst>
              <a:gd name="connsiteX0" fmla="*/ 9525 w 5981700"/>
              <a:gd name="connsiteY0" fmla="*/ 0 h 1447800"/>
              <a:gd name="connsiteX1" fmla="*/ 5981700 w 5981700"/>
              <a:gd name="connsiteY1" fmla="*/ 1133475 h 1447800"/>
              <a:gd name="connsiteX2" fmla="*/ 5981700 w 5981700"/>
              <a:gd name="connsiteY2" fmla="*/ 1447800 h 1447800"/>
              <a:gd name="connsiteX3" fmla="*/ 0 w 5981700"/>
              <a:gd name="connsiteY3" fmla="*/ 1266825 h 1447800"/>
              <a:gd name="connsiteX4" fmla="*/ 9525 w 5981700"/>
              <a:gd name="connsiteY4" fmla="*/ 0 h 14478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5981700" h="1447800">
                <a:moveTo>
                  <a:pt x="9525" y="0"/>
                </a:moveTo>
                <a:lnTo>
                  <a:pt x="5981700" y="1133475"/>
                </a:lnTo>
                <a:lnTo>
                  <a:pt x="5981700" y="1447800"/>
                </a:lnTo>
                <a:lnTo>
                  <a:pt x="0" y="1266825"/>
                </a:lnTo>
                <a:lnTo>
                  <a:pt x="9525" y="0"/>
                </a:lnTo>
                <a:close/>
              </a:path>
            </a:pathLst>
          </a:custGeom>
          <a:solidFill xmlns:a="http://schemas.openxmlformats.org/drawingml/2006/main">
            <a:schemeClr val="accent6">
              <a:lumMod val="50000"/>
            </a:schemeClr>
          </a:solidFill>
          <a:ln xmlns:a="http://schemas.openxmlformats.org/drawingml/2006/main">
            <a:noFill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3">
            <a:schemeClr val="accent1"/>
          </a:fillRef>
          <a:effectRef xmlns:a="http://schemas.openxmlformats.org/drawingml/2006/main" idx="2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fr-FR"/>
          </a:p>
        </cdr:txBody>
      </cdr:sp>
      <cdr:sp macro="" textlink="">
        <cdr:nvSpPr>
          <cdr:cNvPr id="18" name="Forme libre 17"/>
          <cdr:cNvSpPr/>
        </cdr:nvSpPr>
        <cdr:spPr>
          <a:xfrm xmlns:a="http://schemas.openxmlformats.org/drawingml/2006/main">
            <a:off x="419101" y="2581275"/>
            <a:ext cx="6038850" cy="476250"/>
          </a:xfrm>
          <a:custGeom xmlns:a="http://schemas.openxmlformats.org/drawingml/2006/main">
            <a:avLst/>
            <a:gdLst>
              <a:gd name="connsiteX0" fmla="*/ 0 w 6000750"/>
              <a:gd name="connsiteY0" fmla="*/ 0 h 476250"/>
              <a:gd name="connsiteX1" fmla="*/ 6000750 w 6000750"/>
              <a:gd name="connsiteY1" fmla="*/ 180975 h 476250"/>
              <a:gd name="connsiteX2" fmla="*/ 5981700 w 6000750"/>
              <a:gd name="connsiteY2" fmla="*/ 476250 h 476250"/>
              <a:gd name="connsiteX3" fmla="*/ 0 w 6000750"/>
              <a:gd name="connsiteY3" fmla="*/ 371475 h 476250"/>
              <a:gd name="connsiteX4" fmla="*/ 0 w 6000750"/>
              <a:gd name="connsiteY4" fmla="*/ 0 h 4762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6000750" h="476250">
                <a:moveTo>
                  <a:pt x="0" y="0"/>
                </a:moveTo>
                <a:lnTo>
                  <a:pt x="6000750" y="180975"/>
                </a:lnTo>
                <a:lnTo>
                  <a:pt x="5981700" y="476250"/>
                </a:lnTo>
                <a:lnTo>
                  <a:pt x="0" y="371475"/>
                </a:lnTo>
                <a:lnTo>
                  <a:pt x="0" y="0"/>
                </a:lnTo>
                <a:close/>
              </a:path>
            </a:pathLst>
          </a:custGeom>
          <a:solidFill xmlns:a="http://schemas.openxmlformats.org/drawingml/2006/main">
            <a:srgbClr val="FFC000"/>
          </a:solidFill>
          <a:ln xmlns:a="http://schemas.openxmlformats.org/drawingml/2006/main">
            <a:noFill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3">
            <a:schemeClr val="accent1"/>
          </a:fillRef>
          <a:effectRef xmlns:a="http://schemas.openxmlformats.org/drawingml/2006/main" idx="2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fr-FR"/>
          </a:p>
        </cdr:txBody>
      </cdr:sp>
      <cdr:sp macro="" textlink="">
        <cdr:nvSpPr>
          <cdr:cNvPr id="19" name="Forme libre 18"/>
          <cdr:cNvSpPr/>
        </cdr:nvSpPr>
        <cdr:spPr>
          <a:xfrm xmlns:a="http://schemas.openxmlformats.org/drawingml/2006/main">
            <a:off x="428625" y="2952750"/>
            <a:ext cx="6029325" cy="847725"/>
          </a:xfrm>
          <a:custGeom xmlns:a="http://schemas.openxmlformats.org/drawingml/2006/main">
            <a:avLst/>
            <a:gdLst>
              <a:gd name="connsiteX0" fmla="*/ 0 w 5981700"/>
              <a:gd name="connsiteY0" fmla="*/ 0 h 847725"/>
              <a:gd name="connsiteX1" fmla="*/ 5972175 w 5981700"/>
              <a:gd name="connsiteY1" fmla="*/ 123825 h 847725"/>
              <a:gd name="connsiteX2" fmla="*/ 5981700 w 5981700"/>
              <a:gd name="connsiteY2" fmla="*/ 847725 h 847725"/>
              <a:gd name="connsiteX3" fmla="*/ 9525 w 5981700"/>
              <a:gd name="connsiteY3" fmla="*/ 657225 h 847725"/>
              <a:gd name="connsiteX4" fmla="*/ 0 w 5981700"/>
              <a:gd name="connsiteY4" fmla="*/ 0 h 8477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5981700" h="847725">
                <a:moveTo>
                  <a:pt x="0" y="0"/>
                </a:moveTo>
                <a:lnTo>
                  <a:pt x="5972175" y="123825"/>
                </a:lnTo>
                <a:lnTo>
                  <a:pt x="5981700" y="847725"/>
                </a:lnTo>
                <a:lnTo>
                  <a:pt x="9525" y="657225"/>
                </a:lnTo>
                <a:lnTo>
                  <a:pt x="0" y="0"/>
                </a:lnTo>
                <a:close/>
              </a:path>
            </a:pathLst>
          </a:custGeom>
          <a:solidFill xmlns:a="http://schemas.openxmlformats.org/drawingml/2006/main">
            <a:srgbClr val="7030A0"/>
          </a:solidFill>
          <a:ln xmlns:a="http://schemas.openxmlformats.org/drawingml/2006/main">
            <a:noFill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3">
            <a:schemeClr val="accent1"/>
          </a:fillRef>
          <a:effectRef xmlns:a="http://schemas.openxmlformats.org/drawingml/2006/main" idx="2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fr-FR"/>
          </a:p>
        </cdr:txBody>
      </cdr:sp>
      <cdr:sp macro="" textlink="">
        <cdr:nvSpPr>
          <cdr:cNvPr id="20" name="Forme libre 19"/>
          <cdr:cNvSpPr/>
        </cdr:nvSpPr>
        <cdr:spPr>
          <a:xfrm xmlns:a="http://schemas.openxmlformats.org/drawingml/2006/main">
            <a:off x="419101" y="3619500"/>
            <a:ext cx="6067425" cy="381000"/>
          </a:xfrm>
          <a:custGeom xmlns:a="http://schemas.openxmlformats.org/drawingml/2006/main">
            <a:avLst/>
            <a:gdLst>
              <a:gd name="connsiteX0" fmla="*/ 0 w 5991225"/>
              <a:gd name="connsiteY0" fmla="*/ 0 h 381000"/>
              <a:gd name="connsiteX1" fmla="*/ 5991225 w 5991225"/>
              <a:gd name="connsiteY1" fmla="*/ 190500 h 381000"/>
              <a:gd name="connsiteX2" fmla="*/ 5981700 w 5991225"/>
              <a:gd name="connsiteY2" fmla="*/ 381000 h 381000"/>
              <a:gd name="connsiteX3" fmla="*/ 9525 w 5991225"/>
              <a:gd name="connsiteY3" fmla="*/ 104775 h 381000"/>
              <a:gd name="connsiteX4" fmla="*/ 0 w 5991225"/>
              <a:gd name="connsiteY4" fmla="*/ 0 h 3810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5991225" h="381000">
                <a:moveTo>
                  <a:pt x="0" y="0"/>
                </a:moveTo>
                <a:lnTo>
                  <a:pt x="5991225" y="190500"/>
                </a:lnTo>
                <a:lnTo>
                  <a:pt x="5981700" y="381000"/>
                </a:lnTo>
                <a:lnTo>
                  <a:pt x="9525" y="104775"/>
                </a:lnTo>
                <a:lnTo>
                  <a:pt x="0" y="0"/>
                </a:lnTo>
                <a:close/>
              </a:path>
            </a:pathLst>
          </a:custGeom>
          <a:solidFill xmlns:a="http://schemas.openxmlformats.org/drawingml/2006/main">
            <a:schemeClr val="tx2">
              <a:lumMod val="75000"/>
            </a:schemeClr>
          </a:solidFill>
          <a:ln xmlns:a="http://schemas.openxmlformats.org/drawingml/2006/main">
            <a:noFill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3">
            <a:schemeClr val="accent1"/>
          </a:fillRef>
          <a:effectRef xmlns:a="http://schemas.openxmlformats.org/drawingml/2006/main" idx="2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fr-FR"/>
          </a:p>
        </cdr:txBody>
      </cdr:sp>
      <cdr:sp macro="" textlink="">
        <cdr:nvSpPr>
          <cdr:cNvPr id="21" name="Forme libre 20"/>
          <cdr:cNvSpPr/>
        </cdr:nvSpPr>
        <cdr:spPr>
          <a:xfrm xmlns:a="http://schemas.openxmlformats.org/drawingml/2006/main">
            <a:off x="409576" y="3733800"/>
            <a:ext cx="6019800" cy="742950"/>
          </a:xfrm>
          <a:custGeom xmlns:a="http://schemas.openxmlformats.org/drawingml/2006/main">
            <a:avLst/>
            <a:gdLst>
              <a:gd name="connsiteX0" fmla="*/ 19050 w 6019800"/>
              <a:gd name="connsiteY0" fmla="*/ 0 h 742950"/>
              <a:gd name="connsiteX1" fmla="*/ 6010275 w 6019800"/>
              <a:gd name="connsiteY1" fmla="*/ 285750 h 742950"/>
              <a:gd name="connsiteX2" fmla="*/ 6019800 w 6019800"/>
              <a:gd name="connsiteY2" fmla="*/ 733425 h 742950"/>
              <a:gd name="connsiteX3" fmla="*/ 0 w 6019800"/>
              <a:gd name="connsiteY3" fmla="*/ 742950 h 742950"/>
              <a:gd name="connsiteX4" fmla="*/ 19050 w 6019800"/>
              <a:gd name="connsiteY4" fmla="*/ 0 h 7429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6019800" h="742950">
                <a:moveTo>
                  <a:pt x="19050" y="0"/>
                </a:moveTo>
                <a:lnTo>
                  <a:pt x="6010275" y="285750"/>
                </a:lnTo>
                <a:lnTo>
                  <a:pt x="6019800" y="733425"/>
                </a:lnTo>
                <a:lnTo>
                  <a:pt x="0" y="742950"/>
                </a:lnTo>
                <a:lnTo>
                  <a:pt x="19050" y="0"/>
                </a:lnTo>
                <a:close/>
              </a:path>
            </a:pathLst>
          </a:custGeom>
          <a:solidFill xmlns:a="http://schemas.openxmlformats.org/drawingml/2006/main">
            <a:schemeClr val="accent3">
              <a:lumMod val="75000"/>
            </a:schemeClr>
          </a:solidFill>
          <a:ln xmlns:a="http://schemas.openxmlformats.org/drawingml/2006/main">
            <a:noFill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3">
            <a:schemeClr val="accent1"/>
          </a:fillRef>
          <a:effectRef xmlns:a="http://schemas.openxmlformats.org/drawingml/2006/main" idx="2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fr-FR"/>
          </a:p>
        </cdr:txBody>
      </cdr:sp>
    </cdr:grpSp>
  </cdr:relSizeAnchor>
  <cdr:relSizeAnchor xmlns:cdr="http://schemas.openxmlformats.org/drawingml/2006/chartDrawing">
    <cdr:from>
      <cdr:x>0.69929</cdr:x>
      <cdr:y>0.44578</cdr:y>
    </cdr:from>
    <cdr:to>
      <cdr:x>0.70071</cdr:x>
      <cdr:y>0.93775</cdr:y>
    </cdr:to>
    <cdr:cxnSp macro="">
      <cdr:nvCxnSpPr>
        <cdr:cNvPr id="10" name="Connecteur droit 9"/>
        <cdr:cNvCxnSpPr/>
      </cdr:nvCxnSpPr>
      <cdr:spPr>
        <a:xfrm xmlns:a="http://schemas.openxmlformats.org/drawingml/2006/main" flipH="1">
          <a:off x="4695826" y="2114550"/>
          <a:ext cx="9525" cy="233362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0.21277</cdr:x>
      <cdr:y>0.31727</cdr:y>
    </cdr:from>
    <cdr:to>
      <cdr:x>0.21277</cdr:x>
      <cdr:y>0.93775</cdr:y>
    </cdr:to>
    <cdr:cxnSp macro="">
      <cdr:nvCxnSpPr>
        <cdr:cNvPr id="3" name="Connecteur droit 2"/>
        <cdr:cNvCxnSpPr/>
      </cdr:nvCxnSpPr>
      <cdr:spPr>
        <a:xfrm xmlns:a="http://schemas.openxmlformats.org/drawingml/2006/main">
          <a:off x="1428751" y="1504950"/>
          <a:ext cx="0" cy="294322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0.36596</cdr:x>
      <cdr:y>0.35743</cdr:y>
    </cdr:from>
    <cdr:to>
      <cdr:x>0.37021</cdr:x>
      <cdr:y>0.94779</cdr:y>
    </cdr:to>
    <cdr:cxnSp macro="">
      <cdr:nvCxnSpPr>
        <cdr:cNvPr id="5" name="Connecteur droit 4"/>
        <cdr:cNvCxnSpPr/>
      </cdr:nvCxnSpPr>
      <cdr:spPr>
        <a:xfrm xmlns:a="http://schemas.openxmlformats.org/drawingml/2006/main">
          <a:off x="2457451" y="1695450"/>
          <a:ext cx="28575" cy="280035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0.43404</cdr:x>
      <cdr:y>0.37349</cdr:y>
    </cdr:from>
    <cdr:to>
      <cdr:x>0.43688</cdr:x>
      <cdr:y>0.94578</cdr:y>
    </cdr:to>
    <cdr:cxnSp macro="">
      <cdr:nvCxnSpPr>
        <cdr:cNvPr id="8" name="Connecteur droit 7"/>
        <cdr:cNvCxnSpPr/>
      </cdr:nvCxnSpPr>
      <cdr:spPr>
        <a:xfrm xmlns:a="http://schemas.openxmlformats.org/drawingml/2006/main">
          <a:off x="2914651" y="1771650"/>
          <a:ext cx="19050" cy="271462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0.08369</cdr:x>
      <cdr:y>0.36948</cdr:y>
    </cdr:from>
    <cdr:to>
      <cdr:x>0.23972</cdr:x>
      <cdr:y>0.44177</cdr:y>
    </cdr:to>
    <cdr:sp macro="" textlink="">
      <cdr:nvSpPr>
        <cdr:cNvPr id="22" name="ZoneTexte 21"/>
        <cdr:cNvSpPr txBox="1"/>
      </cdr:nvSpPr>
      <cdr:spPr>
        <a:xfrm xmlns:a="http://schemas.openxmlformats.org/drawingml/2006/main">
          <a:off x="561976" y="1752600"/>
          <a:ext cx="104775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800" b="1">
              <a:solidFill>
                <a:schemeClr val="bg1"/>
              </a:solidFill>
            </a:rPr>
            <a:t>Remblai de la plateforme</a:t>
          </a:r>
        </a:p>
      </cdr:txBody>
    </cdr:sp>
  </cdr:relSizeAnchor>
  <cdr:relSizeAnchor xmlns:cdr="http://schemas.openxmlformats.org/drawingml/2006/chartDrawing">
    <cdr:from>
      <cdr:x>0.00757</cdr:x>
      <cdr:y>0.01071</cdr:y>
    </cdr:from>
    <cdr:to>
      <cdr:x>0.16359</cdr:x>
      <cdr:y>0.083</cdr:y>
    </cdr:to>
    <cdr:sp macro="" textlink="">
      <cdr:nvSpPr>
        <cdr:cNvPr id="23" name="ZoneTexte 1"/>
        <cdr:cNvSpPr txBox="1"/>
      </cdr:nvSpPr>
      <cdr:spPr>
        <a:xfrm xmlns:a="http://schemas.openxmlformats.org/drawingml/2006/main">
          <a:off x="50800" y="50800"/>
          <a:ext cx="104775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800" b="1">
              <a:solidFill>
                <a:schemeClr val="bg1"/>
              </a:solidFill>
            </a:rPr>
            <a:t>Remblai de la plateforme</a:t>
          </a:r>
        </a:p>
      </cdr:txBody>
    </cdr:sp>
  </cdr:relSizeAnchor>
  <cdr:relSizeAnchor xmlns:cdr="http://schemas.openxmlformats.org/drawingml/2006/chartDrawing">
    <cdr:from>
      <cdr:x>0.00757</cdr:x>
      <cdr:y>0.01071</cdr:y>
    </cdr:from>
    <cdr:to>
      <cdr:x>0.16359</cdr:x>
      <cdr:y>0.083</cdr:y>
    </cdr:to>
    <cdr:sp macro="" textlink="">
      <cdr:nvSpPr>
        <cdr:cNvPr id="24" name="ZoneTexte 1"/>
        <cdr:cNvSpPr txBox="1"/>
      </cdr:nvSpPr>
      <cdr:spPr>
        <a:xfrm xmlns:a="http://schemas.openxmlformats.org/drawingml/2006/main">
          <a:off x="50800" y="50800"/>
          <a:ext cx="104775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800" b="1">
              <a:solidFill>
                <a:schemeClr val="bg1"/>
              </a:solidFill>
            </a:rPr>
            <a:t>Remblai de la plateforme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288637</xdr:colOff>
      <xdr:row>61</xdr:row>
      <xdr:rowOff>173181</xdr:rowOff>
    </xdr:from>
    <xdr:to>
      <xdr:col>30</xdr:col>
      <xdr:colOff>634999</xdr:colOff>
      <xdr:row>90</xdr:row>
      <xdr:rowOff>187614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C36:K62" totalsRowCount="1" headerRowDxfId="36" dataDxfId="34" headerRowBorderDxfId="35" tableBorderDxfId="33" totalsRowBorderDxfId="32">
  <autoFilter ref="C36:K61"/>
  <tableColumns count="9">
    <tableColumn id="1" name="U" dataDxfId="31" totalsRowDxfId="9"/>
    <tableColumn id="2" name="T_v" dataDxfId="30" totalsRowDxfId="8"/>
    <tableColumn id="3" name="t" dataDxfId="29" totalsRowDxfId="7">
      <calculatedColumnFormula>D37/B$33/(24*3600)</calculatedColumnFormula>
    </tableColumn>
    <tableColumn id="4" name="Tassement 1(t)" totalsRowFunction="custom" dataDxfId="28" totalsRowDxfId="6">
      <calculatedColumnFormula>B$30+B$28+$C37/100*B$29</calculatedColumnFormula>
      <totalsRowFormula>0.7*B29</totalsRowFormula>
    </tableColumn>
    <tableColumn id="5" name="Tassement 2 (t)" totalsRowFunction="custom" dataDxfId="27" totalsRowDxfId="5">
      <calculatedColumnFormula>C$30+C$28+$C37/100*C$29</calculatedColumnFormula>
      <totalsRowFormula>0.7*C29</totalsRowFormula>
    </tableColumn>
    <tableColumn id="6" name="Tassement 3 (t)" totalsRowFunction="custom" dataDxfId="26" totalsRowDxfId="4">
      <calculatedColumnFormula>D$30+D$28+$C37/100*D$29</calculatedColumnFormula>
      <totalsRowFormula>0.7*D29</totalsRowFormula>
    </tableColumn>
    <tableColumn id="7" name="Tassement 4(t)" totalsRowFunction="custom" dataDxfId="25" totalsRowDxfId="3">
      <calculatedColumnFormula>E$30+E$28+$C37/100*E$29</calculatedColumnFormula>
      <totalsRowFormula>0.7*E29</totalsRowFormula>
    </tableColumn>
    <tableColumn id="8" name="Tassement 5(t)" totalsRowFunction="custom" dataDxfId="24" totalsRowDxfId="2">
      <calculatedColumnFormula>F$30+F$28+$C37/100*F$29</calculatedColumnFormula>
      <totalsRowFormula>0.7*F29</totalsRowFormula>
    </tableColumn>
    <tableColumn id="9" name="Tassement 6(t)" totalsRowFunction="custom" dataDxfId="23" totalsRowDxfId="1">
      <calculatedColumnFormula>G$30+G$28+$C37/100*G$29</calculatedColumnFormula>
      <totalsRowFormula>0.7*G29</totalsRow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C35:K59" totalsRowShown="0" headerRowDxfId="22" dataDxfId="20" headerRowBorderDxfId="21" tableBorderDxfId="19" totalsRowBorderDxfId="18">
  <autoFilter ref="C35:K59"/>
  <tableColumns count="9">
    <tableColumn id="1" name="U" dataDxfId="17"/>
    <tableColumn id="2" name="T_v" dataDxfId="16"/>
    <tableColumn id="3" name="t" dataDxfId="15">
      <calculatedColumnFormula>D36/B$32/(24*3600)</calculatedColumnFormula>
    </tableColumn>
    <tableColumn id="4" name="Tassement 1(t)" dataDxfId="0">
      <calculatedColumnFormula>B$28*Table13[[#This Row],[U]]/100+B$27+B$29+Tassement_sans_surchage!F$69</calculatedColumnFormula>
    </tableColumn>
    <tableColumn id="5" name="Tassement 2 (t)" dataDxfId="14"/>
    <tableColumn id="6" name="Tassement 3 (t)" dataDxfId="13"/>
    <tableColumn id="7" name="Tassement 4(t)" dataDxfId="12"/>
    <tableColumn id="8" name="Tassement 5(t)" dataDxfId="11"/>
    <tableColumn id="9" name="Tassement 6(t)" dataDxfId="1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82"/>
  <sheetViews>
    <sheetView topLeftCell="B54" zoomScale="55" zoomScaleNormal="55" workbookViewId="0">
      <selection activeCell="K83" sqref="K83"/>
    </sheetView>
  </sheetViews>
  <sheetFormatPr baseColWidth="10" defaultColWidth="10.875" defaultRowHeight="15.75" x14ac:dyDescent="0.25"/>
  <cols>
    <col min="1" max="1" width="19" style="1" customWidth="1"/>
    <col min="2" max="2" width="10.875" style="1"/>
    <col min="3" max="3" width="16.375" style="1" customWidth="1"/>
    <col min="4" max="4" width="11.875" style="1" bestFit="1" customWidth="1"/>
    <col min="5" max="5" width="19.125" style="1" customWidth="1"/>
    <col min="6" max="6" width="16" style="1" customWidth="1"/>
    <col min="7" max="8" width="16.375" style="1" customWidth="1"/>
    <col min="9" max="11" width="15.875" style="1" customWidth="1"/>
    <col min="12" max="16384" width="10.875" style="1"/>
  </cols>
  <sheetData>
    <row r="3" spans="1:9" ht="23.1" customHeight="1" x14ac:dyDescent="0.25">
      <c r="A3" s="72" t="s">
        <v>0</v>
      </c>
      <c r="B3" s="72"/>
      <c r="C3" s="72"/>
    </row>
    <row r="4" spans="1:9" ht="23.1" customHeight="1" x14ac:dyDescent="0.25">
      <c r="A4" s="2"/>
      <c r="B4" s="2"/>
      <c r="C4" s="2"/>
    </row>
    <row r="5" spans="1:9" ht="23.1" customHeight="1" x14ac:dyDescent="0.25">
      <c r="A5" s="3" t="s">
        <v>9</v>
      </c>
      <c r="B5" s="3" t="s">
        <v>3</v>
      </c>
      <c r="C5" s="3">
        <v>20</v>
      </c>
    </row>
    <row r="6" spans="1:9" ht="16.5" thickBot="1" x14ac:dyDescent="0.3"/>
    <row r="7" spans="1:9" ht="31.5" x14ac:dyDescent="0.25">
      <c r="A7" s="14"/>
      <c r="B7" s="17" t="s">
        <v>2</v>
      </c>
      <c r="C7" s="17" t="s">
        <v>1</v>
      </c>
      <c r="D7" s="18" t="s">
        <v>37</v>
      </c>
      <c r="E7" s="17" t="s">
        <v>38</v>
      </c>
      <c r="F7" s="17" t="s">
        <v>39</v>
      </c>
      <c r="G7" s="17" t="s">
        <v>48</v>
      </c>
      <c r="H7" s="17" t="s">
        <v>40</v>
      </c>
      <c r="I7" s="19" t="s">
        <v>41</v>
      </c>
    </row>
    <row r="8" spans="1:9" x14ac:dyDescent="0.25">
      <c r="A8" s="15" t="s">
        <v>3</v>
      </c>
      <c r="B8" s="5">
        <v>0</v>
      </c>
      <c r="C8" s="5">
        <v>120</v>
      </c>
      <c r="D8" s="6">
        <v>0</v>
      </c>
      <c r="E8" s="5">
        <v>20</v>
      </c>
      <c r="F8" s="5">
        <v>40</v>
      </c>
      <c r="G8" s="5">
        <v>50</v>
      </c>
      <c r="H8" s="5">
        <v>85</v>
      </c>
      <c r="I8" s="8">
        <v>120</v>
      </c>
    </row>
    <row r="9" spans="1:9" ht="31.5" x14ac:dyDescent="0.25">
      <c r="A9" s="15" t="s">
        <v>4</v>
      </c>
      <c r="B9" s="5">
        <v>6.7</v>
      </c>
      <c r="C9" s="5">
        <v>1.7</v>
      </c>
      <c r="D9" s="6">
        <f>$B9-D$8/$C$8*($B9-$C9)</f>
        <v>6.7</v>
      </c>
      <c r="E9" s="5">
        <f>$B9-E$8/$C$8*($B9-$C9)</f>
        <v>5.8666666666666671</v>
      </c>
      <c r="F9" s="5">
        <f t="shared" ref="F9:I9" si="0">$B9-F$8/$C$8*($B9-$C9)</f>
        <v>5.0333333333333332</v>
      </c>
      <c r="G9" s="5">
        <f t="shared" si="0"/>
        <v>4.6166666666666671</v>
      </c>
      <c r="H9" s="5">
        <f t="shared" si="0"/>
        <v>3.1583333333333332</v>
      </c>
      <c r="I9" s="8">
        <f t="shared" si="0"/>
        <v>1.7000000000000002</v>
      </c>
    </row>
    <row r="10" spans="1:9" ht="31.5" x14ac:dyDescent="0.25">
      <c r="A10" s="15" t="s">
        <v>81</v>
      </c>
      <c r="B10" s="5">
        <f>B11+B9</f>
        <v>12.7</v>
      </c>
      <c r="C10" s="5">
        <f t="shared" ref="C10:I10" si="1">C11+C9</f>
        <v>6.7</v>
      </c>
      <c r="D10" s="6">
        <f t="shared" si="1"/>
        <v>12.7</v>
      </c>
      <c r="E10" s="5">
        <f t="shared" si="1"/>
        <v>11.7</v>
      </c>
      <c r="F10" s="5">
        <f t="shared" si="1"/>
        <v>10.7</v>
      </c>
      <c r="G10" s="5">
        <f t="shared" si="1"/>
        <v>10.199999999999999</v>
      </c>
      <c r="H10" s="5">
        <f t="shared" si="1"/>
        <v>8.4499999999999993</v>
      </c>
      <c r="I10" s="5">
        <f t="shared" si="1"/>
        <v>6.7</v>
      </c>
    </row>
    <row r="11" spans="1:9" x14ac:dyDescent="0.25">
      <c r="A11" s="15" t="s">
        <v>5</v>
      </c>
      <c r="B11" s="5">
        <v>6</v>
      </c>
      <c r="C11" s="5">
        <v>5</v>
      </c>
      <c r="D11" s="6">
        <f t="shared" ref="D11:I14" si="2">$B11-D$8/$C$8*($B11-$C11)</f>
        <v>6</v>
      </c>
      <c r="E11" s="5">
        <f t="shared" si="2"/>
        <v>5.833333333333333</v>
      </c>
      <c r="F11" s="5">
        <f t="shared" si="2"/>
        <v>5.666666666666667</v>
      </c>
      <c r="G11" s="5">
        <f t="shared" si="2"/>
        <v>5.583333333333333</v>
      </c>
      <c r="H11" s="5">
        <f t="shared" si="2"/>
        <v>5.291666666666667</v>
      </c>
      <c r="I11" s="8">
        <f t="shared" si="2"/>
        <v>5</v>
      </c>
    </row>
    <row r="12" spans="1:9" ht="31.5" x14ac:dyDescent="0.25">
      <c r="A12" s="15" t="s">
        <v>6</v>
      </c>
      <c r="B12" s="5">
        <v>4</v>
      </c>
      <c r="C12" s="5">
        <v>3.5</v>
      </c>
      <c r="D12" s="6">
        <f t="shared" si="2"/>
        <v>4</v>
      </c>
      <c r="E12" s="5">
        <f t="shared" si="2"/>
        <v>3.9166666666666665</v>
      </c>
      <c r="F12" s="5">
        <f t="shared" si="2"/>
        <v>3.8333333333333335</v>
      </c>
      <c r="G12" s="5">
        <f t="shared" si="2"/>
        <v>3.7916666666666665</v>
      </c>
      <c r="H12" s="5">
        <f t="shared" si="2"/>
        <v>3.6458333333333335</v>
      </c>
      <c r="I12" s="8">
        <f t="shared" si="2"/>
        <v>3.5</v>
      </c>
    </row>
    <row r="13" spans="1:9" ht="31.5" x14ac:dyDescent="0.25">
      <c r="A13" s="15" t="s">
        <v>7</v>
      </c>
      <c r="B13" s="5">
        <v>0.5</v>
      </c>
      <c r="C13" s="5">
        <v>-0.5</v>
      </c>
      <c r="D13" s="6">
        <f t="shared" si="2"/>
        <v>0.5</v>
      </c>
      <c r="E13" s="5">
        <f t="shared" si="2"/>
        <v>0.33333333333333337</v>
      </c>
      <c r="F13" s="5">
        <f t="shared" si="2"/>
        <v>0.16666666666666669</v>
      </c>
      <c r="G13" s="5">
        <f t="shared" si="2"/>
        <v>8.3333333333333315E-2</v>
      </c>
      <c r="H13" s="5">
        <f t="shared" si="2"/>
        <v>-0.20833333333333337</v>
      </c>
      <c r="I13" s="8">
        <f t="shared" si="2"/>
        <v>-0.5</v>
      </c>
    </row>
    <row r="14" spans="1:9" ht="16.5" thickBot="1" x14ac:dyDescent="0.3">
      <c r="A14" s="16" t="s">
        <v>8</v>
      </c>
      <c r="B14" s="9">
        <v>0</v>
      </c>
      <c r="C14" s="9">
        <v>-1.5</v>
      </c>
      <c r="D14" s="10">
        <f t="shared" si="2"/>
        <v>0</v>
      </c>
      <c r="E14" s="9">
        <f t="shared" si="2"/>
        <v>-0.25</v>
      </c>
      <c r="F14" s="9">
        <f t="shared" si="2"/>
        <v>-0.5</v>
      </c>
      <c r="G14" s="9">
        <f t="shared" si="2"/>
        <v>-0.625</v>
      </c>
      <c r="H14" s="9">
        <f t="shared" si="2"/>
        <v>-1.0625</v>
      </c>
      <c r="I14" s="11">
        <f t="shared" si="2"/>
        <v>-1.5</v>
      </c>
    </row>
    <row r="17" spans="1:13" ht="16.5" thickBot="1" x14ac:dyDescent="0.3"/>
    <row r="18" spans="1:13" ht="30.95" customHeight="1" thickBot="1" x14ac:dyDescent="0.3">
      <c r="A18" s="73" t="s">
        <v>10</v>
      </c>
      <c r="B18" s="74"/>
      <c r="C18" s="74"/>
      <c r="D18" s="74"/>
      <c r="E18" s="74"/>
      <c r="F18" s="74"/>
      <c r="G18" s="74"/>
      <c r="H18" s="74"/>
      <c r="I18" s="75" t="s">
        <v>49</v>
      </c>
      <c r="J18" s="76"/>
      <c r="K18" s="76"/>
      <c r="L18" s="76"/>
      <c r="M18" s="77"/>
    </row>
    <row r="19" spans="1:13" ht="31.5" x14ac:dyDescent="0.25">
      <c r="A19" s="20"/>
      <c r="B19" s="21" t="s">
        <v>12</v>
      </c>
      <c r="C19" s="21" t="s">
        <v>17</v>
      </c>
      <c r="D19" s="21" t="s">
        <v>13</v>
      </c>
      <c r="E19" s="21" t="s">
        <v>18</v>
      </c>
      <c r="F19" s="21" t="s">
        <v>19</v>
      </c>
      <c r="G19" s="21" t="s">
        <v>20</v>
      </c>
      <c r="H19" s="21" t="s">
        <v>21</v>
      </c>
      <c r="I19" s="21" t="s">
        <v>27</v>
      </c>
      <c r="J19" s="21" t="s">
        <v>25</v>
      </c>
      <c r="K19" s="21" t="s">
        <v>29</v>
      </c>
      <c r="L19" s="21" t="s">
        <v>30</v>
      </c>
      <c r="M19" s="22" t="s">
        <v>18</v>
      </c>
    </row>
    <row r="20" spans="1:13" ht="31.5" x14ac:dyDescent="0.25">
      <c r="A20" s="15" t="s">
        <v>11</v>
      </c>
      <c r="B20" s="5">
        <v>20</v>
      </c>
      <c r="C20" s="5">
        <f>D9</f>
        <v>6.7</v>
      </c>
      <c r="D20" s="5">
        <v>5000</v>
      </c>
      <c r="E20" s="12"/>
      <c r="F20" s="5"/>
      <c r="G20" s="5"/>
      <c r="H20" s="5"/>
      <c r="I20" s="5"/>
      <c r="J20" s="5"/>
      <c r="K20" s="5"/>
      <c r="L20" s="5"/>
      <c r="M20" s="8"/>
    </row>
    <row r="21" spans="1:13" ht="31.5" x14ac:dyDescent="0.25">
      <c r="A21" s="15" t="s">
        <v>14</v>
      </c>
      <c r="B21" s="5">
        <v>20</v>
      </c>
      <c r="C21" s="5">
        <f>D11-D12</f>
        <v>2</v>
      </c>
      <c r="D21" s="5">
        <v>5000</v>
      </c>
      <c r="E21" s="12"/>
      <c r="F21" s="5"/>
      <c r="G21" s="5"/>
      <c r="H21" s="5"/>
      <c r="I21" s="5">
        <f>B21*C21</f>
        <v>40</v>
      </c>
      <c r="J21" s="5" t="s">
        <v>26</v>
      </c>
      <c r="K21" s="5">
        <f>(4.7-D12)*10</f>
        <v>7.0000000000000018</v>
      </c>
      <c r="L21" s="5">
        <f>I21-K21</f>
        <v>33</v>
      </c>
      <c r="M21" s="8"/>
    </row>
    <row r="22" spans="1:13" ht="31.5" x14ac:dyDescent="0.25">
      <c r="A22" s="32" t="s">
        <v>15</v>
      </c>
      <c r="B22" s="6">
        <v>17</v>
      </c>
      <c r="C22" s="6">
        <f>D12-D13</f>
        <v>3.5</v>
      </c>
      <c r="D22" s="6"/>
      <c r="E22" s="33">
        <f>0.00000006</f>
        <v>5.9999999999999995E-8</v>
      </c>
      <c r="F22" s="6">
        <v>0.21</v>
      </c>
      <c r="G22" s="6">
        <v>1.2E-2</v>
      </c>
      <c r="H22" s="6">
        <v>25</v>
      </c>
      <c r="I22" s="6">
        <f>I21+0.5*B22*C22</f>
        <v>69.75</v>
      </c>
      <c r="J22" s="6" t="s">
        <v>28</v>
      </c>
      <c r="K22" s="6">
        <f>K21</f>
        <v>7.0000000000000018</v>
      </c>
      <c r="L22" s="6">
        <f>I22-K22</f>
        <v>62.75</v>
      </c>
      <c r="M22" s="34"/>
    </row>
    <row r="23" spans="1:13" ht="16.5" thickBot="1" x14ac:dyDescent="0.3">
      <c r="A23" s="16" t="s">
        <v>16</v>
      </c>
      <c r="B23" s="9"/>
      <c r="C23" s="9">
        <f>D13-D14</f>
        <v>0.5</v>
      </c>
      <c r="D23" s="9">
        <v>7000</v>
      </c>
      <c r="E23" s="13"/>
      <c r="F23" s="9"/>
      <c r="G23" s="9"/>
      <c r="H23" s="9"/>
      <c r="I23" s="9"/>
      <c r="J23" s="9"/>
      <c r="K23" s="9"/>
      <c r="L23" s="9"/>
      <c r="M23" s="11"/>
    </row>
    <row r="25" spans="1:13" ht="16.5" thickBot="1" x14ac:dyDescent="0.3"/>
    <row r="26" spans="1:13" ht="31.5" x14ac:dyDescent="0.25">
      <c r="A26" s="23" t="s">
        <v>33</v>
      </c>
      <c r="B26" s="17" t="s">
        <v>37</v>
      </c>
      <c r="C26" s="17" t="s">
        <v>38</v>
      </c>
      <c r="D26" s="17" t="s">
        <v>39</v>
      </c>
      <c r="E26" s="17" t="s">
        <v>82</v>
      </c>
      <c r="F26" s="17" t="s">
        <v>40</v>
      </c>
      <c r="G26" s="7" t="s">
        <v>41</v>
      </c>
    </row>
    <row r="27" spans="1:13" x14ac:dyDescent="0.25">
      <c r="A27" s="15" t="s">
        <v>22</v>
      </c>
      <c r="B27" s="5">
        <f>D9*$B20</f>
        <v>134</v>
      </c>
      <c r="C27" s="5">
        <f t="shared" ref="C27:G27" si="3">E9*$B20</f>
        <v>117.33333333333334</v>
      </c>
      <c r="D27" s="5">
        <f t="shared" si="3"/>
        <v>100.66666666666666</v>
      </c>
      <c r="E27" s="5">
        <f t="shared" si="3"/>
        <v>92.333333333333343</v>
      </c>
      <c r="F27" s="5">
        <f t="shared" si="3"/>
        <v>63.166666666666664</v>
      </c>
      <c r="G27" s="8">
        <f t="shared" si="3"/>
        <v>34</v>
      </c>
    </row>
    <row r="28" spans="1:13" ht="31.5" x14ac:dyDescent="0.25">
      <c r="A28" s="15" t="s">
        <v>23</v>
      </c>
      <c r="B28" s="5">
        <f>B27*C21/$D$21</f>
        <v>5.3600000000000002E-2</v>
      </c>
      <c r="C28" s="5">
        <f>C27*(E11-E12)/$D$21</f>
        <v>4.4977777777777776E-2</v>
      </c>
      <c r="D28" s="5">
        <f t="shared" ref="D28:G28" si="4">D27*(F11-F12)/$D$21</f>
        <v>3.691111111111111E-2</v>
      </c>
      <c r="E28" s="5">
        <f t="shared" si="4"/>
        <v>3.3086111111111115E-2</v>
      </c>
      <c r="F28" s="5">
        <f t="shared" si="4"/>
        <v>2.0792361111111112E-2</v>
      </c>
      <c r="G28" s="8">
        <f t="shared" si="4"/>
        <v>1.0200000000000001E-2</v>
      </c>
    </row>
    <row r="29" spans="1:13" ht="32.25" customHeight="1" x14ac:dyDescent="0.25">
      <c r="A29" s="32" t="s">
        <v>24</v>
      </c>
      <c r="B29" s="6">
        <f>(F22*LOG10((L22+B27)/(L22+H22))+G22*LOG10((L22+H22)/(L22)))*C22</f>
        <v>0.26385730027089271</v>
      </c>
      <c r="C29" s="6">
        <f>0.24</f>
        <v>0.24</v>
      </c>
      <c r="D29" s="6">
        <v>0.22</v>
      </c>
      <c r="E29" s="6">
        <v>0.21</v>
      </c>
      <c r="F29" s="6">
        <v>0.14000000000000001</v>
      </c>
      <c r="G29" s="34">
        <v>0.05</v>
      </c>
    </row>
    <row r="30" spans="1:13" ht="34.5" customHeight="1" thickBot="1" x14ac:dyDescent="0.3">
      <c r="A30" s="16" t="s">
        <v>31</v>
      </c>
      <c r="B30" s="9">
        <f>B27*C23/$D$23</f>
        <v>9.571428571428571E-3</v>
      </c>
      <c r="C30" s="9">
        <f>C27*(E13-E14)/$D$23</f>
        <v>9.7777777777777793E-3</v>
      </c>
      <c r="D30" s="9">
        <f t="shared" ref="D30:G30" si="5">D27*(F13-F14)/$D$23</f>
        <v>9.587301587301587E-3</v>
      </c>
      <c r="E30" s="9">
        <f t="shared" si="5"/>
        <v>9.3432539682539676E-3</v>
      </c>
      <c r="F30" s="9">
        <f t="shared" si="5"/>
        <v>7.7078373015873006E-3</v>
      </c>
      <c r="G30" s="11">
        <f t="shared" si="5"/>
        <v>4.8571428571428567E-3</v>
      </c>
    </row>
    <row r="33" spans="1:11" x14ac:dyDescent="0.25">
      <c r="A33" s="1" t="s">
        <v>32</v>
      </c>
      <c r="B33" s="4">
        <f>E22/(C22^2)</f>
        <v>4.8979591836734685E-9</v>
      </c>
    </row>
    <row r="36" spans="1:11" x14ac:dyDescent="0.25">
      <c r="C36" s="28" t="s">
        <v>34</v>
      </c>
      <c r="D36" s="29" t="s">
        <v>35</v>
      </c>
      <c r="E36" s="24" t="s">
        <v>36</v>
      </c>
      <c r="F36" s="24" t="s">
        <v>42</v>
      </c>
      <c r="G36" s="24" t="s">
        <v>43</v>
      </c>
      <c r="H36" s="24" t="s">
        <v>44</v>
      </c>
      <c r="I36" s="24" t="s">
        <v>45</v>
      </c>
      <c r="J36" s="30" t="s">
        <v>46</v>
      </c>
      <c r="K36" s="31" t="s">
        <v>47</v>
      </c>
    </row>
    <row r="37" spans="1:11" x14ac:dyDescent="0.25">
      <c r="C37" s="5">
        <v>0</v>
      </c>
      <c r="D37" s="5">
        <v>0</v>
      </c>
      <c r="E37" s="12">
        <f>D37/B$33/(24*3600)</f>
        <v>0</v>
      </c>
      <c r="F37" s="5">
        <f>B$30+B$28+$C37/100*B$29</f>
        <v>6.3171428571428573E-2</v>
      </c>
      <c r="G37" s="5">
        <f>C$30+C$28+$C37/100*C$29</f>
        <v>5.4755555555555557E-2</v>
      </c>
      <c r="H37" s="5">
        <f t="shared" ref="H37:K37" si="6">D$30+D$28+$C37/100*D$29</f>
        <v>4.6498412698412699E-2</v>
      </c>
      <c r="I37" s="5">
        <f t="shared" si="6"/>
        <v>4.2429365079365081E-2</v>
      </c>
      <c r="J37" s="5">
        <f t="shared" si="6"/>
        <v>2.8500198412698415E-2</v>
      </c>
      <c r="K37" s="25">
        <f t="shared" si="6"/>
        <v>1.5057142857142857E-2</v>
      </c>
    </row>
    <row r="38" spans="1:11" x14ac:dyDescent="0.25">
      <c r="C38" s="5">
        <v>5</v>
      </c>
      <c r="D38" s="5">
        <v>2E-3</v>
      </c>
      <c r="E38" s="12">
        <f t="shared" ref="E38:E61" si="7">D38/B$33/(24*3600)</f>
        <v>4.7260802469135816</v>
      </c>
      <c r="F38" s="5">
        <f t="shared" ref="F38:F61" si="8">B$30+B$28+$C38/100*B$29</f>
        <v>7.6364293584973209E-2</v>
      </c>
      <c r="G38" s="5">
        <f t="shared" ref="G38:G61" si="9">C$30+C$28+$C38/100*C$29</f>
        <v>6.6755555555555554E-2</v>
      </c>
      <c r="H38" s="5">
        <f t="shared" ref="H38:H61" si="10">D$30+D$28+$C38/100*D$29</f>
        <v>5.7498412698412701E-2</v>
      </c>
      <c r="I38" s="5">
        <f t="shared" ref="I38:I61" si="11">E$30+E$28+$C38/100*E$29</f>
        <v>5.2929365079365083E-2</v>
      </c>
      <c r="J38" s="5">
        <f t="shared" ref="J38:J61" si="12">F$30+F$28+$C38/100*F$29</f>
        <v>3.5500198412698414E-2</v>
      </c>
      <c r="K38" s="25">
        <f t="shared" ref="K38:K61" si="13">G$30+G$28+$C38/100*G$29</f>
        <v>1.7557142857142858E-2</v>
      </c>
    </row>
    <row r="39" spans="1:11" x14ac:dyDescent="0.25">
      <c r="C39" s="5">
        <v>7.1</v>
      </c>
      <c r="D39" s="5">
        <v>4.0000000000000001E-3</v>
      </c>
      <c r="E39" s="12">
        <f t="shared" si="7"/>
        <v>9.4521604938271633</v>
      </c>
      <c r="F39" s="5">
        <f t="shared" si="8"/>
        <v>8.1905296890661949E-2</v>
      </c>
      <c r="G39" s="5">
        <f t="shared" si="9"/>
        <v>7.1795555555555557E-2</v>
      </c>
      <c r="H39" s="5">
        <f t="shared" si="10"/>
        <v>6.2118412698412701E-2</v>
      </c>
      <c r="I39" s="5">
        <f t="shared" si="11"/>
        <v>5.733936507936508E-2</v>
      </c>
      <c r="J39" s="5">
        <f t="shared" si="12"/>
        <v>3.8440198412698412E-2</v>
      </c>
      <c r="K39" s="25">
        <f t="shared" si="13"/>
        <v>1.8607142857142857E-2</v>
      </c>
    </row>
    <row r="40" spans="1:11" x14ac:dyDescent="0.25">
      <c r="C40" s="5">
        <v>10</v>
      </c>
      <c r="D40" s="5">
        <v>8.0000000000000002E-3</v>
      </c>
      <c r="E40" s="12">
        <f t="shared" si="7"/>
        <v>18.904320987654327</v>
      </c>
      <c r="F40" s="5">
        <f t="shared" si="8"/>
        <v>8.9557158598517844E-2</v>
      </c>
      <c r="G40" s="5">
        <f t="shared" si="9"/>
        <v>7.8755555555555551E-2</v>
      </c>
      <c r="H40" s="5">
        <f t="shared" si="10"/>
        <v>6.8498412698412697E-2</v>
      </c>
      <c r="I40" s="5">
        <f t="shared" si="11"/>
        <v>6.3429365079365085E-2</v>
      </c>
      <c r="J40" s="5">
        <f t="shared" si="12"/>
        <v>4.250019841269842E-2</v>
      </c>
      <c r="K40" s="25">
        <f t="shared" si="13"/>
        <v>2.0057142857142857E-2</v>
      </c>
    </row>
    <row r="41" spans="1:11" x14ac:dyDescent="0.25">
      <c r="C41" s="5">
        <v>12.4</v>
      </c>
      <c r="D41" s="5">
        <v>1.2E-2</v>
      </c>
      <c r="E41" s="12">
        <f t="shared" si="7"/>
        <v>28.356481481481488</v>
      </c>
      <c r="F41" s="5">
        <f t="shared" si="8"/>
        <v>9.5889733805019278E-2</v>
      </c>
      <c r="G41" s="5">
        <f t="shared" si="9"/>
        <v>8.4515555555555552E-2</v>
      </c>
      <c r="H41" s="5">
        <f t="shared" si="10"/>
        <v>7.3778412698412704E-2</v>
      </c>
      <c r="I41" s="5">
        <f t="shared" si="11"/>
        <v>6.8469365079365074E-2</v>
      </c>
      <c r="J41" s="5">
        <f t="shared" si="12"/>
        <v>4.5860198412698415E-2</v>
      </c>
      <c r="K41" s="25">
        <f t="shared" si="13"/>
        <v>2.1257142857142856E-2</v>
      </c>
    </row>
    <row r="42" spans="1:11" x14ac:dyDescent="0.25">
      <c r="C42" s="5">
        <v>15</v>
      </c>
      <c r="D42" s="5">
        <v>1.7999999999999999E-2</v>
      </c>
      <c r="E42" s="12">
        <f t="shared" si="7"/>
        <v>42.534722222222229</v>
      </c>
      <c r="F42" s="5">
        <f t="shared" si="8"/>
        <v>0.10275002361206248</v>
      </c>
      <c r="G42" s="5">
        <f t="shared" si="9"/>
        <v>9.0755555555555562E-2</v>
      </c>
      <c r="H42" s="5">
        <f t="shared" si="10"/>
        <v>7.9498412698412707E-2</v>
      </c>
      <c r="I42" s="5">
        <f t="shared" si="11"/>
        <v>7.3929365079365081E-2</v>
      </c>
      <c r="J42" s="5">
        <f t="shared" si="12"/>
        <v>4.9500198412698412E-2</v>
      </c>
      <c r="K42" s="25">
        <f t="shared" si="13"/>
        <v>2.2557142857142859E-2</v>
      </c>
    </row>
    <row r="43" spans="1:11" x14ac:dyDescent="0.25">
      <c r="C43" s="5">
        <v>16</v>
      </c>
      <c r="D43" s="5">
        <v>0.02</v>
      </c>
      <c r="E43" s="12">
        <f t="shared" si="7"/>
        <v>47.260802469135811</v>
      </c>
      <c r="F43" s="5">
        <f t="shared" si="8"/>
        <v>0.1053885966147714</v>
      </c>
      <c r="G43" s="5">
        <f t="shared" si="9"/>
        <v>9.3155555555555547E-2</v>
      </c>
      <c r="H43" s="5">
        <f t="shared" si="10"/>
        <v>8.1698412698412701E-2</v>
      </c>
      <c r="I43" s="5">
        <f t="shared" si="11"/>
        <v>7.6029365079365085E-2</v>
      </c>
      <c r="J43" s="5">
        <f t="shared" si="12"/>
        <v>5.0900198412698418E-2</v>
      </c>
      <c r="K43" s="25">
        <f t="shared" si="13"/>
        <v>2.3057142857142859E-2</v>
      </c>
    </row>
    <row r="44" spans="1:11" x14ac:dyDescent="0.25">
      <c r="C44" s="5">
        <v>18.899999999999999</v>
      </c>
      <c r="D44" s="5">
        <v>2.8000000000000001E-2</v>
      </c>
      <c r="E44" s="12">
        <f t="shared" si="7"/>
        <v>66.165123456790141</v>
      </c>
      <c r="F44" s="5">
        <f t="shared" si="8"/>
        <v>0.1130404583226273</v>
      </c>
      <c r="G44" s="5">
        <f t="shared" si="9"/>
        <v>0.10011555555555554</v>
      </c>
      <c r="H44" s="5">
        <f t="shared" si="10"/>
        <v>8.8078412698412684E-2</v>
      </c>
      <c r="I44" s="5">
        <f t="shared" si="11"/>
        <v>8.211936507936507E-2</v>
      </c>
      <c r="J44" s="5">
        <f t="shared" si="12"/>
        <v>5.4960198412698412E-2</v>
      </c>
      <c r="K44" s="25">
        <f t="shared" si="13"/>
        <v>2.4507142857142859E-2</v>
      </c>
    </row>
    <row r="45" spans="1:11" x14ac:dyDescent="0.25">
      <c r="C45" s="5">
        <v>20</v>
      </c>
      <c r="D45" s="5">
        <v>0.03</v>
      </c>
      <c r="E45" s="12">
        <f t="shared" si="7"/>
        <v>70.891203703703709</v>
      </c>
      <c r="F45" s="5">
        <f t="shared" si="8"/>
        <v>0.11594288862560712</v>
      </c>
      <c r="G45" s="5">
        <f t="shared" si="9"/>
        <v>0.10275555555555556</v>
      </c>
      <c r="H45" s="5">
        <f t="shared" si="10"/>
        <v>9.0498412698412703E-2</v>
      </c>
      <c r="I45" s="5">
        <f t="shared" si="11"/>
        <v>8.4429365079365076E-2</v>
      </c>
      <c r="J45" s="5">
        <f t="shared" si="12"/>
        <v>5.6500198412698419E-2</v>
      </c>
      <c r="K45" s="25">
        <f t="shared" si="13"/>
        <v>2.5057142857142861E-2</v>
      </c>
    </row>
    <row r="46" spans="1:11" x14ac:dyDescent="0.25">
      <c r="C46" s="5">
        <v>25</v>
      </c>
      <c r="D46" s="5">
        <v>4.9000000000000002E-2</v>
      </c>
      <c r="E46" s="12">
        <f t="shared" si="7"/>
        <v>115.78896604938274</v>
      </c>
      <c r="F46" s="5">
        <f t="shared" si="8"/>
        <v>0.12913575363915175</v>
      </c>
      <c r="G46" s="5">
        <f t="shared" si="9"/>
        <v>0.11475555555555556</v>
      </c>
      <c r="H46" s="5">
        <f t="shared" si="10"/>
        <v>0.1014984126984127</v>
      </c>
      <c r="I46" s="5">
        <f t="shared" si="11"/>
        <v>9.4929365079365086E-2</v>
      </c>
      <c r="J46" s="5">
        <f t="shared" si="12"/>
        <v>6.3500198412698411E-2</v>
      </c>
      <c r="K46" s="25">
        <f t="shared" si="13"/>
        <v>2.7557142857142856E-2</v>
      </c>
    </row>
    <row r="47" spans="1:11" x14ac:dyDescent="0.25">
      <c r="C47" s="5">
        <v>30</v>
      </c>
      <c r="D47" s="5">
        <v>7.0000000000000007E-2</v>
      </c>
      <c r="E47" s="12">
        <f t="shared" si="7"/>
        <v>165.41280864197535</v>
      </c>
      <c r="F47" s="5">
        <f t="shared" si="8"/>
        <v>0.14232861865269639</v>
      </c>
      <c r="G47" s="5">
        <f t="shared" si="9"/>
        <v>0.12675555555555557</v>
      </c>
      <c r="H47" s="5">
        <f t="shared" si="10"/>
        <v>0.11249841269841271</v>
      </c>
      <c r="I47" s="5">
        <f t="shared" si="11"/>
        <v>0.10542936507936508</v>
      </c>
      <c r="J47" s="5">
        <f t="shared" si="12"/>
        <v>7.0500198412698417E-2</v>
      </c>
      <c r="K47" s="25">
        <f t="shared" si="13"/>
        <v>3.0057142857142859E-2</v>
      </c>
    </row>
    <row r="48" spans="1:11" x14ac:dyDescent="0.25">
      <c r="C48" s="5">
        <v>35</v>
      </c>
      <c r="D48" s="5">
        <v>9.6000000000000002E-2</v>
      </c>
      <c r="E48" s="12">
        <f t="shared" si="7"/>
        <v>226.8518518518519</v>
      </c>
      <c r="F48" s="5">
        <f t="shared" si="8"/>
        <v>0.15552148366624102</v>
      </c>
      <c r="G48" s="5">
        <f t="shared" si="9"/>
        <v>0.13875555555555555</v>
      </c>
      <c r="H48" s="5">
        <f t="shared" si="10"/>
        <v>0.12349841269841269</v>
      </c>
      <c r="I48" s="5">
        <f t="shared" si="11"/>
        <v>0.11592936507936508</v>
      </c>
      <c r="J48" s="5">
        <f t="shared" si="12"/>
        <v>7.7500198412698423E-2</v>
      </c>
      <c r="K48" s="25">
        <f t="shared" si="13"/>
        <v>3.2557142857142854E-2</v>
      </c>
    </row>
    <row r="49" spans="2:11" x14ac:dyDescent="0.25">
      <c r="C49" s="5">
        <v>40</v>
      </c>
      <c r="D49" s="5">
        <v>0.13</v>
      </c>
      <c r="E49" s="12">
        <f t="shared" si="7"/>
        <v>307.19521604938279</v>
      </c>
      <c r="F49" s="5">
        <f t="shared" si="8"/>
        <v>0.16871434867978566</v>
      </c>
      <c r="G49" s="5">
        <f t="shared" si="9"/>
        <v>0.15075555555555556</v>
      </c>
      <c r="H49" s="5">
        <f t="shared" si="10"/>
        <v>0.1344984126984127</v>
      </c>
      <c r="I49" s="5">
        <f t="shared" si="11"/>
        <v>0.12642936507936509</v>
      </c>
      <c r="J49" s="5">
        <f t="shared" si="12"/>
        <v>8.450019841269843E-2</v>
      </c>
      <c r="K49" s="25">
        <f t="shared" si="13"/>
        <v>3.5057142857142863E-2</v>
      </c>
    </row>
    <row r="50" spans="2:11" x14ac:dyDescent="0.25">
      <c r="C50" s="5">
        <v>45</v>
      </c>
      <c r="D50" s="5">
        <v>0.159</v>
      </c>
      <c r="E50" s="12">
        <f t="shared" si="7"/>
        <v>375.72337962962973</v>
      </c>
      <c r="F50" s="5">
        <f t="shared" si="8"/>
        <v>0.18190721369333029</v>
      </c>
      <c r="G50" s="5">
        <f t="shared" si="9"/>
        <v>0.16275555555555554</v>
      </c>
      <c r="H50" s="5">
        <f t="shared" si="10"/>
        <v>0.14549841269841271</v>
      </c>
      <c r="I50" s="5">
        <f t="shared" si="11"/>
        <v>0.1369293650793651</v>
      </c>
      <c r="J50" s="5">
        <f t="shared" si="12"/>
        <v>9.1500198412698436E-2</v>
      </c>
      <c r="K50" s="25">
        <f t="shared" si="13"/>
        <v>3.7557142857142858E-2</v>
      </c>
    </row>
    <row r="51" spans="2:11" x14ac:dyDescent="0.25">
      <c r="C51" s="5">
        <v>50</v>
      </c>
      <c r="D51" s="5">
        <v>0.2</v>
      </c>
      <c r="E51" s="12">
        <f t="shared" si="7"/>
        <v>472.60802469135814</v>
      </c>
      <c r="F51" s="5">
        <f t="shared" si="8"/>
        <v>0.19510007870687493</v>
      </c>
      <c r="G51" s="5">
        <f t="shared" si="9"/>
        <v>0.17475555555555555</v>
      </c>
      <c r="H51" s="5">
        <f t="shared" si="10"/>
        <v>0.15649841269841269</v>
      </c>
      <c r="I51" s="5">
        <f t="shared" si="11"/>
        <v>0.14742936507936508</v>
      </c>
      <c r="J51" s="5">
        <f t="shared" si="12"/>
        <v>9.8500198412698414E-2</v>
      </c>
      <c r="K51" s="25">
        <f t="shared" si="13"/>
        <v>4.0057142857142861E-2</v>
      </c>
    </row>
    <row r="52" spans="2:11" x14ac:dyDescent="0.25">
      <c r="C52" s="5">
        <v>55</v>
      </c>
      <c r="D52" s="5">
        <v>0.23899999999999999</v>
      </c>
      <c r="E52" s="12">
        <f t="shared" si="7"/>
        <v>564.76658950617298</v>
      </c>
      <c r="F52" s="5">
        <f t="shared" si="8"/>
        <v>0.20829294372041957</v>
      </c>
      <c r="G52" s="5">
        <f t="shared" si="9"/>
        <v>0.18675555555555556</v>
      </c>
      <c r="H52" s="5">
        <f t="shared" si="10"/>
        <v>0.1674984126984127</v>
      </c>
      <c r="I52" s="5">
        <f t="shared" si="11"/>
        <v>0.15792936507936509</v>
      </c>
      <c r="J52" s="5">
        <f t="shared" si="12"/>
        <v>0.10550019841269842</v>
      </c>
      <c r="K52" s="25">
        <f t="shared" si="13"/>
        <v>4.2557142857142863E-2</v>
      </c>
    </row>
    <row r="53" spans="2:11" x14ac:dyDescent="0.25">
      <c r="C53" s="5">
        <v>60</v>
      </c>
      <c r="D53" s="5">
        <v>0.28599999999999998</v>
      </c>
      <c r="E53" s="12">
        <f t="shared" si="7"/>
        <v>675.82947530864203</v>
      </c>
      <c r="F53" s="5">
        <f t="shared" si="8"/>
        <v>0.2214858087339642</v>
      </c>
      <c r="G53" s="5">
        <f t="shared" si="9"/>
        <v>0.19875555555555555</v>
      </c>
      <c r="H53" s="5">
        <f t="shared" si="10"/>
        <v>0.17849841269841271</v>
      </c>
      <c r="I53" s="5">
        <f t="shared" si="11"/>
        <v>0.16842936507936507</v>
      </c>
      <c r="J53" s="5">
        <f t="shared" si="12"/>
        <v>0.11250019841269843</v>
      </c>
      <c r="K53" s="25">
        <f t="shared" si="13"/>
        <v>4.5057142857142858E-2</v>
      </c>
    </row>
    <row r="54" spans="2:11" x14ac:dyDescent="0.25">
      <c r="C54" s="5">
        <v>65</v>
      </c>
      <c r="D54" s="5">
        <v>0.34200000000000003</v>
      </c>
      <c r="E54" s="12">
        <f t="shared" si="7"/>
        <v>808.1597222222224</v>
      </c>
      <c r="F54" s="5">
        <f t="shared" si="8"/>
        <v>0.23467867374750884</v>
      </c>
      <c r="G54" s="5">
        <f t="shared" si="9"/>
        <v>0.21075555555555556</v>
      </c>
      <c r="H54" s="5">
        <f t="shared" si="10"/>
        <v>0.18949841269841272</v>
      </c>
      <c r="I54" s="5">
        <f t="shared" si="11"/>
        <v>0.17892936507936508</v>
      </c>
      <c r="J54" s="5">
        <f t="shared" si="12"/>
        <v>0.11950019841269843</v>
      </c>
      <c r="K54" s="25">
        <f t="shared" si="13"/>
        <v>4.755714285714286E-2</v>
      </c>
    </row>
    <row r="55" spans="2:11" x14ac:dyDescent="0.25">
      <c r="C55" s="5">
        <v>70</v>
      </c>
      <c r="D55" s="5">
        <v>0.40300000000000002</v>
      </c>
      <c r="E55" s="12">
        <f t="shared" si="7"/>
        <v>952.3051697530866</v>
      </c>
      <c r="F55" s="5">
        <f t="shared" si="8"/>
        <v>0.24787153876105347</v>
      </c>
      <c r="G55" s="5">
        <f t="shared" si="9"/>
        <v>0.22275555555555554</v>
      </c>
      <c r="H55" s="5">
        <f t="shared" si="10"/>
        <v>0.2004984126984127</v>
      </c>
      <c r="I55" s="5">
        <f t="shared" si="11"/>
        <v>0.18942936507936509</v>
      </c>
      <c r="J55" s="5">
        <f t="shared" si="12"/>
        <v>0.12650019841269841</v>
      </c>
      <c r="K55" s="25">
        <f t="shared" si="13"/>
        <v>5.0057142857142856E-2</v>
      </c>
    </row>
    <row r="56" spans="2:11" x14ac:dyDescent="0.25">
      <c r="C56" s="5">
        <v>75</v>
      </c>
      <c r="D56" s="5">
        <v>0.47699999999999998</v>
      </c>
      <c r="E56" s="12">
        <f t="shared" si="7"/>
        <v>1127.1701388888891</v>
      </c>
      <c r="F56" s="5">
        <f t="shared" si="8"/>
        <v>0.26106440377459811</v>
      </c>
      <c r="G56" s="5">
        <f t="shared" si="9"/>
        <v>0.23475555555555555</v>
      </c>
      <c r="H56" s="5">
        <f t="shared" si="10"/>
        <v>0.21149841269841271</v>
      </c>
      <c r="I56" s="5">
        <f t="shared" si="11"/>
        <v>0.1999293650793651</v>
      </c>
      <c r="J56" s="5">
        <f t="shared" si="12"/>
        <v>0.13350019841269842</v>
      </c>
      <c r="K56" s="25">
        <f t="shared" si="13"/>
        <v>5.2557142857142865E-2</v>
      </c>
    </row>
    <row r="57" spans="2:11" x14ac:dyDescent="0.25">
      <c r="C57" s="5">
        <v>80</v>
      </c>
      <c r="D57" s="5">
        <v>0.56999999999999995</v>
      </c>
      <c r="E57" s="12">
        <f t="shared" si="7"/>
        <v>1346.9328703703704</v>
      </c>
      <c r="F57" s="5">
        <f t="shared" si="8"/>
        <v>0.27425726878814272</v>
      </c>
      <c r="G57" s="5">
        <f t="shared" si="9"/>
        <v>0.24675555555555556</v>
      </c>
      <c r="H57" s="5">
        <f t="shared" si="10"/>
        <v>0.22249841269841272</v>
      </c>
      <c r="I57" s="5">
        <f t="shared" si="11"/>
        <v>0.2104293650793651</v>
      </c>
      <c r="J57" s="5">
        <f t="shared" si="12"/>
        <v>0.14050019841269842</v>
      </c>
      <c r="K57" s="25">
        <f t="shared" si="13"/>
        <v>5.5057142857142867E-2</v>
      </c>
    </row>
    <row r="58" spans="2:11" x14ac:dyDescent="0.25">
      <c r="C58" s="5">
        <v>85</v>
      </c>
      <c r="D58" s="5">
        <v>0.68400000000000005</v>
      </c>
      <c r="E58" s="12">
        <f t="shared" si="7"/>
        <v>1616.3194444444448</v>
      </c>
      <c r="F58" s="5">
        <f t="shared" si="8"/>
        <v>0.28745013380168738</v>
      </c>
      <c r="G58" s="5">
        <f t="shared" si="9"/>
        <v>0.25875555555555552</v>
      </c>
      <c r="H58" s="5">
        <f t="shared" si="10"/>
        <v>0.23349841269841271</v>
      </c>
      <c r="I58" s="5">
        <f t="shared" si="11"/>
        <v>0.22092936507936506</v>
      </c>
      <c r="J58" s="5">
        <f t="shared" si="12"/>
        <v>0.14750019841269843</v>
      </c>
      <c r="K58" s="25">
        <f t="shared" si="13"/>
        <v>5.7557142857142862E-2</v>
      </c>
    </row>
    <row r="59" spans="2:11" x14ac:dyDescent="0.25">
      <c r="C59" s="5">
        <v>90</v>
      </c>
      <c r="D59" s="5">
        <v>0.85</v>
      </c>
      <c r="E59" s="12">
        <f t="shared" si="7"/>
        <v>2008.5841049382718</v>
      </c>
      <c r="F59" s="5">
        <f t="shared" si="8"/>
        <v>0.30064299881523204</v>
      </c>
      <c r="G59" s="5">
        <f t="shared" si="9"/>
        <v>0.27075555555555553</v>
      </c>
      <c r="H59" s="5">
        <f t="shared" si="10"/>
        <v>0.24449841269841271</v>
      </c>
      <c r="I59" s="5">
        <f t="shared" si="11"/>
        <v>0.23142936507936507</v>
      </c>
      <c r="J59" s="5">
        <f t="shared" si="12"/>
        <v>0.15450019841269844</v>
      </c>
      <c r="K59" s="25">
        <f t="shared" si="13"/>
        <v>6.0057142857142864E-2</v>
      </c>
    </row>
    <row r="60" spans="2:11" x14ac:dyDescent="0.25">
      <c r="C60" s="5">
        <v>95</v>
      </c>
      <c r="D60" s="5">
        <v>1.2</v>
      </c>
      <c r="E60" s="12">
        <f t="shared" si="7"/>
        <v>2835.6481481481483</v>
      </c>
      <c r="F60" s="5">
        <f t="shared" si="8"/>
        <v>0.3138358638287766</v>
      </c>
      <c r="G60" s="5">
        <f t="shared" si="9"/>
        <v>0.28275555555555554</v>
      </c>
      <c r="H60" s="5">
        <f t="shared" si="10"/>
        <v>0.25549841269841267</v>
      </c>
      <c r="I60" s="5">
        <f t="shared" si="11"/>
        <v>0.24192936507936508</v>
      </c>
      <c r="J60" s="5">
        <f t="shared" si="12"/>
        <v>0.16150019841269841</v>
      </c>
      <c r="K60" s="25">
        <f t="shared" si="13"/>
        <v>6.2557142857142853E-2</v>
      </c>
    </row>
    <row r="61" spans="2:11" x14ac:dyDescent="0.25">
      <c r="C61" s="5">
        <v>99</v>
      </c>
      <c r="D61" s="5">
        <v>2</v>
      </c>
      <c r="E61" s="12">
        <f t="shared" si="7"/>
        <v>4726.0802469135815</v>
      </c>
      <c r="F61" s="5">
        <f t="shared" si="8"/>
        <v>0.32439015583961239</v>
      </c>
      <c r="G61" s="5">
        <f t="shared" si="9"/>
        <v>0.29235555555555554</v>
      </c>
      <c r="H61" s="5">
        <f t="shared" si="10"/>
        <v>0.2642984126984127</v>
      </c>
      <c r="I61" s="5">
        <f t="shared" si="11"/>
        <v>0.2503293650793651</v>
      </c>
      <c r="J61" s="5">
        <f t="shared" si="12"/>
        <v>0.16710019841269841</v>
      </c>
      <c r="K61" s="25">
        <f t="shared" si="13"/>
        <v>6.4557142857142855E-2</v>
      </c>
    </row>
    <row r="62" spans="2:11" ht="47.25" x14ac:dyDescent="0.25">
      <c r="B62" s="1" t="s">
        <v>50</v>
      </c>
      <c r="C62" s="47"/>
      <c r="D62" s="47"/>
      <c r="E62" s="26"/>
      <c r="F62" s="27">
        <f>0.7*B29</f>
        <v>0.1847001101896249</v>
      </c>
      <c r="G62" s="27">
        <f t="shared" ref="G62:K62" si="14">0.7*C29</f>
        <v>0.16799999999999998</v>
      </c>
      <c r="H62" s="27">
        <f t="shared" si="14"/>
        <v>0.154</v>
      </c>
      <c r="I62" s="27">
        <f t="shared" si="14"/>
        <v>0.14699999999999999</v>
      </c>
      <c r="J62" s="27">
        <f t="shared" si="14"/>
        <v>9.8000000000000004E-2</v>
      </c>
      <c r="K62" s="27">
        <f t="shared" si="14"/>
        <v>3.4999999999999996E-2</v>
      </c>
    </row>
    <row r="68" spans="5:11" x14ac:dyDescent="0.25">
      <c r="E68" s="96">
        <f>E47-165</f>
        <v>0.41280864197534584</v>
      </c>
      <c r="F68" s="1">
        <f>F47-F$47</f>
        <v>0</v>
      </c>
      <c r="G68" s="1">
        <f t="shared" ref="G68:K68" si="15">G47-G$47</f>
        <v>0</v>
      </c>
      <c r="H68" s="1">
        <f t="shared" si="15"/>
        <v>0</v>
      </c>
      <c r="I68" s="1">
        <f t="shared" si="15"/>
        <v>0</v>
      </c>
      <c r="J68" s="1">
        <f t="shared" si="15"/>
        <v>0</v>
      </c>
      <c r="K68" s="1">
        <f t="shared" si="15"/>
        <v>0</v>
      </c>
    </row>
    <row r="69" spans="5:11" x14ac:dyDescent="0.25">
      <c r="E69" s="96">
        <f t="shared" ref="E69:E82" si="16">E48-165</f>
        <v>61.851851851851904</v>
      </c>
      <c r="F69" s="1">
        <f t="shared" ref="F69:J82" si="17">F48-F$47</f>
        <v>1.3192865013544636E-2</v>
      </c>
      <c r="G69" s="1">
        <f t="shared" ref="G69:K69" si="18">G48-G$47</f>
        <v>1.1999999999999983E-2</v>
      </c>
      <c r="H69" s="1">
        <f t="shared" si="18"/>
        <v>1.0999999999999982E-2</v>
      </c>
      <c r="I69" s="1">
        <f t="shared" si="18"/>
        <v>1.0499999999999995E-2</v>
      </c>
      <c r="J69" s="1">
        <f t="shared" si="18"/>
        <v>7.0000000000000062E-3</v>
      </c>
      <c r="K69" s="1">
        <f t="shared" si="18"/>
        <v>2.4999999999999953E-3</v>
      </c>
    </row>
    <row r="70" spans="5:11" x14ac:dyDescent="0.25">
      <c r="E70" s="96">
        <f t="shared" si="16"/>
        <v>142.19521604938279</v>
      </c>
      <c r="F70" s="1">
        <f t="shared" si="17"/>
        <v>2.6385730027089271E-2</v>
      </c>
      <c r="G70" s="1">
        <f t="shared" ref="G70:K70" si="19">G49-G$47</f>
        <v>2.3999999999999994E-2</v>
      </c>
      <c r="H70" s="1">
        <f t="shared" si="19"/>
        <v>2.1999999999999992E-2</v>
      </c>
      <c r="I70" s="1">
        <f t="shared" si="19"/>
        <v>2.1000000000000005E-2</v>
      </c>
      <c r="J70" s="1">
        <f t="shared" si="19"/>
        <v>1.4000000000000012E-2</v>
      </c>
      <c r="K70" s="1">
        <f t="shared" si="19"/>
        <v>5.0000000000000044E-3</v>
      </c>
    </row>
    <row r="71" spans="5:11" x14ac:dyDescent="0.25">
      <c r="E71" s="96">
        <f t="shared" si="16"/>
        <v>210.72337962962973</v>
      </c>
      <c r="F71" s="1">
        <f t="shared" si="17"/>
        <v>3.9578595040633907E-2</v>
      </c>
      <c r="G71" s="1">
        <f t="shared" ref="G71:K71" si="20">G50-G$47</f>
        <v>3.5999999999999976E-2</v>
      </c>
      <c r="H71" s="1">
        <f t="shared" si="20"/>
        <v>3.3000000000000002E-2</v>
      </c>
      <c r="I71" s="1">
        <f t="shared" si="20"/>
        <v>3.1500000000000014E-2</v>
      </c>
      <c r="J71" s="1">
        <f t="shared" si="20"/>
        <v>2.1000000000000019E-2</v>
      </c>
      <c r="K71" s="1">
        <f t="shared" si="20"/>
        <v>7.4999999999999997E-3</v>
      </c>
    </row>
    <row r="72" spans="5:11" x14ac:dyDescent="0.25">
      <c r="E72" s="96">
        <f t="shared" si="16"/>
        <v>307.60802469135814</v>
      </c>
      <c r="F72" s="1">
        <f t="shared" si="17"/>
        <v>5.2771460054178543E-2</v>
      </c>
      <c r="G72" s="1">
        <f t="shared" ref="G72:K72" si="21">G51-G$47</f>
        <v>4.7999999999999987E-2</v>
      </c>
      <c r="H72" s="1">
        <f t="shared" si="21"/>
        <v>4.3999999999999984E-2</v>
      </c>
      <c r="I72" s="1">
        <f t="shared" si="21"/>
        <v>4.1999999999999996E-2</v>
      </c>
      <c r="J72" s="1">
        <f t="shared" si="21"/>
        <v>2.7999999999999997E-2</v>
      </c>
      <c r="K72" s="1">
        <f t="shared" si="21"/>
        <v>1.0000000000000002E-2</v>
      </c>
    </row>
    <row r="73" spans="5:11" x14ac:dyDescent="0.25">
      <c r="E73" s="96">
        <f t="shared" si="16"/>
        <v>399.76658950617298</v>
      </c>
      <c r="F73" s="1">
        <f t="shared" si="17"/>
        <v>6.5964325067723178E-2</v>
      </c>
      <c r="G73" s="1">
        <f t="shared" ref="G73:K73" si="22">G52-G$47</f>
        <v>0.06</v>
      </c>
      <c r="H73" s="1">
        <f t="shared" si="22"/>
        <v>5.4999999999999993E-2</v>
      </c>
      <c r="I73" s="1">
        <f t="shared" si="22"/>
        <v>5.2500000000000005E-2</v>
      </c>
      <c r="J73" s="1">
        <f t="shared" si="22"/>
        <v>3.5000000000000003E-2</v>
      </c>
      <c r="K73" s="1">
        <f t="shared" si="22"/>
        <v>1.2500000000000004E-2</v>
      </c>
    </row>
    <row r="74" spans="5:11" x14ac:dyDescent="0.25">
      <c r="E74" s="96">
        <f t="shared" si="16"/>
        <v>510.82947530864203</v>
      </c>
      <c r="F74" s="1">
        <f t="shared" si="17"/>
        <v>7.9157190081267814E-2</v>
      </c>
      <c r="G74" s="1">
        <f t="shared" ref="G74:K74" si="23">G53-G$47</f>
        <v>7.1999999999999981E-2</v>
      </c>
      <c r="H74" s="1">
        <f t="shared" si="23"/>
        <v>6.6000000000000003E-2</v>
      </c>
      <c r="I74" s="1">
        <f t="shared" si="23"/>
        <v>6.2999999999999987E-2</v>
      </c>
      <c r="J74" s="1">
        <f t="shared" si="23"/>
        <v>4.200000000000001E-2</v>
      </c>
      <c r="K74" s="1">
        <f t="shared" si="23"/>
        <v>1.4999999999999999E-2</v>
      </c>
    </row>
    <row r="75" spans="5:11" x14ac:dyDescent="0.25">
      <c r="E75" s="96">
        <f t="shared" si="16"/>
        <v>643.1597222222224</v>
      </c>
      <c r="F75" s="1">
        <f t="shared" si="17"/>
        <v>9.235005509481245E-2</v>
      </c>
      <c r="G75" s="1">
        <f t="shared" ref="G75:K75" si="24">G54-G$47</f>
        <v>8.3999999999999991E-2</v>
      </c>
      <c r="H75" s="1">
        <f t="shared" si="24"/>
        <v>7.7000000000000013E-2</v>
      </c>
      <c r="I75" s="1">
        <f t="shared" si="24"/>
        <v>7.3499999999999996E-2</v>
      </c>
      <c r="J75" s="1">
        <f t="shared" si="24"/>
        <v>4.9000000000000016E-2</v>
      </c>
      <c r="K75" s="1">
        <f t="shared" si="24"/>
        <v>1.7500000000000002E-2</v>
      </c>
    </row>
    <row r="76" spans="5:11" x14ac:dyDescent="0.25">
      <c r="E76" s="96">
        <f t="shared" si="16"/>
        <v>787.3051697530866</v>
      </c>
      <c r="F76" s="1">
        <f t="shared" si="17"/>
        <v>0.10554292010835709</v>
      </c>
      <c r="G76" s="1">
        <f t="shared" ref="G76:K76" si="25">G55-G$47</f>
        <v>9.5999999999999974E-2</v>
      </c>
      <c r="H76" s="1">
        <f t="shared" si="25"/>
        <v>8.7999999999999995E-2</v>
      </c>
      <c r="I76" s="1">
        <f t="shared" si="25"/>
        <v>8.4000000000000005E-2</v>
      </c>
      <c r="J76" s="1">
        <f t="shared" si="25"/>
        <v>5.5999999999999994E-2</v>
      </c>
      <c r="K76" s="1">
        <f t="shared" si="25"/>
        <v>1.9999999999999997E-2</v>
      </c>
    </row>
    <row r="77" spans="5:11" x14ac:dyDescent="0.25">
      <c r="E77" s="96">
        <f t="shared" si="16"/>
        <v>962.17013888888914</v>
      </c>
      <c r="F77" s="1">
        <f t="shared" si="17"/>
        <v>0.11873578512190172</v>
      </c>
      <c r="G77" s="1">
        <f t="shared" ref="G77:K77" si="26">G56-G$47</f>
        <v>0.10799999999999998</v>
      </c>
      <c r="H77" s="1">
        <f t="shared" si="26"/>
        <v>9.9000000000000005E-2</v>
      </c>
      <c r="I77" s="1">
        <f t="shared" si="26"/>
        <v>9.4500000000000015E-2</v>
      </c>
      <c r="J77" s="1">
        <f t="shared" si="26"/>
        <v>6.3E-2</v>
      </c>
      <c r="K77" s="1">
        <f t="shared" si="26"/>
        <v>2.2500000000000006E-2</v>
      </c>
    </row>
    <row r="78" spans="5:11" x14ac:dyDescent="0.25">
      <c r="E78" s="96">
        <f t="shared" si="16"/>
        <v>1181.9328703703704</v>
      </c>
      <c r="F78" s="1">
        <f t="shared" si="17"/>
        <v>0.13192865013544633</v>
      </c>
      <c r="G78" s="1">
        <f t="shared" ref="G78:K78" si="27">G57-G$47</f>
        <v>0.12</v>
      </c>
      <c r="H78" s="1">
        <f t="shared" si="27"/>
        <v>0.11000000000000001</v>
      </c>
      <c r="I78" s="1">
        <f t="shared" si="27"/>
        <v>0.10500000000000002</v>
      </c>
      <c r="J78" s="1">
        <f t="shared" si="27"/>
        <v>7.0000000000000007E-2</v>
      </c>
      <c r="K78" s="1">
        <f t="shared" si="27"/>
        <v>2.5000000000000008E-2</v>
      </c>
    </row>
    <row r="79" spans="5:11" x14ac:dyDescent="0.25">
      <c r="E79" s="96">
        <f t="shared" si="16"/>
        <v>1451.3194444444448</v>
      </c>
      <c r="F79" s="1">
        <f t="shared" si="17"/>
        <v>0.14512151514899099</v>
      </c>
      <c r="G79" s="1">
        <f t="shared" ref="G79:K79" si="28">G58-G$47</f>
        <v>0.13199999999999995</v>
      </c>
      <c r="H79" s="1">
        <f t="shared" si="28"/>
        <v>0.121</v>
      </c>
      <c r="I79" s="1">
        <f t="shared" si="28"/>
        <v>0.11549999999999998</v>
      </c>
      <c r="J79" s="1">
        <f t="shared" si="28"/>
        <v>7.7000000000000013E-2</v>
      </c>
      <c r="K79" s="1">
        <f t="shared" si="28"/>
        <v>2.7500000000000004E-2</v>
      </c>
    </row>
    <row r="80" spans="5:11" x14ac:dyDescent="0.25">
      <c r="E80" s="96">
        <f t="shared" si="16"/>
        <v>1843.5841049382718</v>
      </c>
      <c r="F80" s="1">
        <f t="shared" si="17"/>
        <v>0.15831438016253566</v>
      </c>
      <c r="G80" s="1">
        <f t="shared" ref="G80:K80" si="29">G59-G$47</f>
        <v>0.14399999999999996</v>
      </c>
      <c r="H80" s="1">
        <f t="shared" si="29"/>
        <v>0.13200000000000001</v>
      </c>
      <c r="I80" s="1">
        <f t="shared" si="29"/>
        <v>0.126</v>
      </c>
      <c r="J80" s="1">
        <f t="shared" si="29"/>
        <v>8.4000000000000019E-2</v>
      </c>
      <c r="K80" s="1">
        <f t="shared" si="29"/>
        <v>3.0000000000000006E-2</v>
      </c>
    </row>
    <row r="81" spans="5:11" x14ac:dyDescent="0.25">
      <c r="E81" s="96">
        <f t="shared" si="16"/>
        <v>2670.6481481481483</v>
      </c>
      <c r="F81" s="1">
        <f t="shared" si="17"/>
        <v>0.17150724517608021</v>
      </c>
      <c r="G81" s="1">
        <f t="shared" ref="G81:K81" si="30">G60-G$47</f>
        <v>0.15599999999999997</v>
      </c>
      <c r="H81" s="1">
        <f t="shared" si="30"/>
        <v>0.14299999999999996</v>
      </c>
      <c r="I81" s="1">
        <f t="shared" si="30"/>
        <v>0.13650000000000001</v>
      </c>
      <c r="J81" s="1">
        <f t="shared" si="30"/>
        <v>9.0999999999999998E-2</v>
      </c>
      <c r="K81" s="1">
        <f t="shared" si="30"/>
        <v>3.2499999999999994E-2</v>
      </c>
    </row>
    <row r="82" spans="5:11" x14ac:dyDescent="0.25">
      <c r="E82" s="96">
        <f t="shared" si="16"/>
        <v>4561.0802469135815</v>
      </c>
      <c r="F82" s="1">
        <f t="shared" si="17"/>
        <v>0.18206153718691601</v>
      </c>
      <c r="G82" s="1">
        <f t="shared" ref="G82:K82" si="31">G61-G$47</f>
        <v>0.16559999999999997</v>
      </c>
      <c r="H82" s="1">
        <f t="shared" si="31"/>
        <v>0.15179999999999999</v>
      </c>
      <c r="I82" s="1">
        <f t="shared" si="31"/>
        <v>0.14490000000000003</v>
      </c>
      <c r="J82" s="1">
        <f t="shared" si="31"/>
        <v>9.6599999999999991E-2</v>
      </c>
      <c r="K82" s="1">
        <f>K61-K$47</f>
        <v>3.4499999999999996E-2</v>
      </c>
    </row>
  </sheetData>
  <mergeCells count="3">
    <mergeCell ref="A3:C3"/>
    <mergeCell ref="A18:H18"/>
    <mergeCell ref="I18:M18"/>
  </mergeCells>
  <pageMargins left="0.75" right="0.75" top="1" bottom="1" header="0.5" footer="0.5"/>
  <pageSetup paperSize="9"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91"/>
  <sheetViews>
    <sheetView tabSelected="1" topLeftCell="K63" zoomScale="66" zoomScaleNormal="66" workbookViewId="0">
      <selection activeCell="AC68" sqref="AC68"/>
    </sheetView>
  </sheetViews>
  <sheetFormatPr baseColWidth="10" defaultColWidth="10.875" defaultRowHeight="15.75" x14ac:dyDescent="0.25"/>
  <cols>
    <col min="1" max="1" width="19" style="1" customWidth="1"/>
    <col min="2" max="2" width="10.875" style="1"/>
    <col min="3" max="3" width="16.375" style="1" customWidth="1"/>
    <col min="4" max="4" width="11.875" style="1" bestFit="1" customWidth="1"/>
    <col min="5" max="5" width="19.125" style="1" customWidth="1"/>
    <col min="6" max="6" width="16" style="1" customWidth="1"/>
    <col min="7" max="8" width="16.375" style="1" customWidth="1"/>
    <col min="9" max="11" width="15.875" style="1" customWidth="1"/>
    <col min="12" max="16384" width="10.875" style="1"/>
  </cols>
  <sheetData>
    <row r="3" spans="1:9" ht="15" customHeight="1" x14ac:dyDescent="0.25">
      <c r="A3" s="72" t="s">
        <v>0</v>
      </c>
      <c r="B3" s="72"/>
      <c r="C3" s="72"/>
    </row>
    <row r="4" spans="1:9" x14ac:dyDescent="0.25">
      <c r="A4" s="2"/>
      <c r="B4" s="2"/>
      <c r="C4" s="2"/>
    </row>
    <row r="5" spans="1:9" x14ac:dyDescent="0.25">
      <c r="A5" s="3" t="s">
        <v>9</v>
      </c>
      <c r="B5" s="3" t="s">
        <v>3</v>
      </c>
      <c r="C5" s="3">
        <v>20</v>
      </c>
    </row>
    <row r="6" spans="1:9" ht="16.5" thickBot="1" x14ac:dyDescent="0.3"/>
    <row r="7" spans="1:9" ht="31.5" x14ac:dyDescent="0.25">
      <c r="A7" s="14"/>
      <c r="B7" s="17" t="s">
        <v>2</v>
      </c>
      <c r="C7" s="17" t="s">
        <v>1</v>
      </c>
      <c r="D7" s="18" t="s">
        <v>37</v>
      </c>
      <c r="E7" s="17" t="s">
        <v>38</v>
      </c>
      <c r="F7" s="17" t="s">
        <v>39</v>
      </c>
      <c r="G7" s="17" t="s">
        <v>48</v>
      </c>
      <c r="H7" s="17" t="s">
        <v>40</v>
      </c>
      <c r="I7" s="19" t="s">
        <v>41</v>
      </c>
    </row>
    <row r="8" spans="1:9" x14ac:dyDescent="0.25">
      <c r="A8" s="15" t="s">
        <v>3</v>
      </c>
      <c r="B8" s="5">
        <v>0</v>
      </c>
      <c r="C8" s="5">
        <v>120</v>
      </c>
      <c r="D8" s="6">
        <v>0</v>
      </c>
      <c r="E8" s="5">
        <v>20</v>
      </c>
      <c r="F8" s="5">
        <v>40</v>
      </c>
      <c r="G8" s="5">
        <v>50</v>
      </c>
      <c r="H8" s="5">
        <v>85</v>
      </c>
      <c r="I8" s="8">
        <v>120</v>
      </c>
    </row>
    <row r="9" spans="1:9" ht="31.5" x14ac:dyDescent="0.25">
      <c r="A9" s="15" t="s">
        <v>4</v>
      </c>
      <c r="B9" s="5">
        <v>6.7</v>
      </c>
      <c r="C9" s="5">
        <v>1.7</v>
      </c>
      <c r="D9" s="6">
        <f>$B9-D$8/$C$8*($B9-$C9)</f>
        <v>6.7</v>
      </c>
      <c r="E9" s="5">
        <f>$B9-E$8/$C$8*($B9-$C9)</f>
        <v>5.8666666666666671</v>
      </c>
      <c r="F9" s="5">
        <f t="shared" ref="F9:I9" si="0">$B9-F$8/$C$8*($B9-$C9)</f>
        <v>5.0333333333333332</v>
      </c>
      <c r="G9" s="5">
        <f t="shared" si="0"/>
        <v>4.6166666666666671</v>
      </c>
      <c r="H9" s="5">
        <f t="shared" si="0"/>
        <v>3.1583333333333332</v>
      </c>
      <c r="I9" s="8">
        <f t="shared" si="0"/>
        <v>1.7000000000000002</v>
      </c>
    </row>
    <row r="10" spans="1:9" x14ac:dyDescent="0.25">
      <c r="A10" s="15" t="s">
        <v>5</v>
      </c>
      <c r="B10" s="5">
        <v>6</v>
      </c>
      <c r="C10" s="5">
        <v>5</v>
      </c>
      <c r="D10" s="6">
        <f t="shared" ref="D10:I13" si="1">$B10-D$8/$C$8*($B10-$C10)</f>
        <v>6</v>
      </c>
      <c r="E10" s="5">
        <f t="shared" si="1"/>
        <v>5.833333333333333</v>
      </c>
      <c r="F10" s="5">
        <f t="shared" si="1"/>
        <v>5.666666666666667</v>
      </c>
      <c r="G10" s="5">
        <f t="shared" si="1"/>
        <v>5.583333333333333</v>
      </c>
      <c r="H10" s="5">
        <f t="shared" si="1"/>
        <v>5.291666666666667</v>
      </c>
      <c r="I10" s="8">
        <f t="shared" si="1"/>
        <v>5</v>
      </c>
    </row>
    <row r="11" spans="1:9" ht="31.5" x14ac:dyDescent="0.25">
      <c r="A11" s="15" t="s">
        <v>6</v>
      </c>
      <c r="B11" s="5">
        <v>4</v>
      </c>
      <c r="C11" s="5">
        <v>3.5</v>
      </c>
      <c r="D11" s="6">
        <f t="shared" si="1"/>
        <v>4</v>
      </c>
      <c r="E11" s="5">
        <f t="shared" si="1"/>
        <v>3.9166666666666665</v>
      </c>
      <c r="F11" s="5">
        <f t="shared" si="1"/>
        <v>3.8333333333333335</v>
      </c>
      <c r="G11" s="5">
        <f t="shared" si="1"/>
        <v>3.7916666666666665</v>
      </c>
      <c r="H11" s="5">
        <f t="shared" si="1"/>
        <v>3.6458333333333335</v>
      </c>
      <c r="I11" s="8">
        <f t="shared" si="1"/>
        <v>3.5</v>
      </c>
    </row>
    <row r="12" spans="1:9" ht="31.5" x14ac:dyDescent="0.25">
      <c r="A12" s="15" t="s">
        <v>7</v>
      </c>
      <c r="B12" s="5">
        <v>0.5</v>
      </c>
      <c r="C12" s="5">
        <v>-0.5</v>
      </c>
      <c r="D12" s="6">
        <f t="shared" si="1"/>
        <v>0.5</v>
      </c>
      <c r="E12" s="5">
        <f t="shared" si="1"/>
        <v>0.33333333333333337</v>
      </c>
      <c r="F12" s="5">
        <f t="shared" si="1"/>
        <v>0.16666666666666669</v>
      </c>
      <c r="G12" s="5">
        <f t="shared" si="1"/>
        <v>8.3333333333333315E-2</v>
      </c>
      <c r="H12" s="5">
        <f t="shared" si="1"/>
        <v>-0.20833333333333337</v>
      </c>
      <c r="I12" s="8">
        <f t="shared" si="1"/>
        <v>-0.5</v>
      </c>
    </row>
    <row r="13" spans="1:9" ht="16.5" thickBot="1" x14ac:dyDescent="0.3">
      <c r="A13" s="16" t="s">
        <v>8</v>
      </c>
      <c r="B13" s="9">
        <v>0</v>
      </c>
      <c r="C13" s="9">
        <v>-1.5</v>
      </c>
      <c r="D13" s="10">
        <f t="shared" si="1"/>
        <v>0</v>
      </c>
      <c r="E13" s="9">
        <f t="shared" si="1"/>
        <v>-0.25</v>
      </c>
      <c r="F13" s="9">
        <f t="shared" si="1"/>
        <v>-0.5</v>
      </c>
      <c r="G13" s="9">
        <f t="shared" si="1"/>
        <v>-0.625</v>
      </c>
      <c r="H13" s="9">
        <f t="shared" si="1"/>
        <v>-1.0625</v>
      </c>
      <c r="I13" s="11">
        <f t="shared" si="1"/>
        <v>-1.5</v>
      </c>
    </row>
    <row r="16" spans="1:9" ht="16.5" thickBot="1" x14ac:dyDescent="0.3"/>
    <row r="17" spans="1:13" ht="30.95" customHeight="1" thickBot="1" x14ac:dyDescent="0.3">
      <c r="A17" s="73" t="s">
        <v>10</v>
      </c>
      <c r="B17" s="74"/>
      <c r="C17" s="74"/>
      <c r="D17" s="74"/>
      <c r="E17" s="74"/>
      <c r="F17" s="74"/>
      <c r="G17" s="74"/>
      <c r="H17" s="74"/>
      <c r="I17" s="75" t="s">
        <v>49</v>
      </c>
      <c r="J17" s="76"/>
      <c r="K17" s="76"/>
      <c r="L17" s="76"/>
      <c r="M17" s="77"/>
    </row>
    <row r="18" spans="1:13" ht="31.5" x14ac:dyDescent="0.25">
      <c r="A18" s="20"/>
      <c r="B18" s="21" t="s">
        <v>12</v>
      </c>
      <c r="C18" s="21" t="s">
        <v>17</v>
      </c>
      <c r="D18" s="21" t="s">
        <v>13</v>
      </c>
      <c r="E18" s="21" t="s">
        <v>18</v>
      </c>
      <c r="F18" s="21" t="s">
        <v>19</v>
      </c>
      <c r="G18" s="21" t="s">
        <v>20</v>
      </c>
      <c r="H18" s="21" t="s">
        <v>21</v>
      </c>
      <c r="I18" s="21" t="s">
        <v>27</v>
      </c>
      <c r="J18" s="21" t="s">
        <v>25</v>
      </c>
      <c r="K18" s="21" t="s">
        <v>29</v>
      </c>
      <c r="L18" s="21" t="s">
        <v>30</v>
      </c>
      <c r="M18" s="22" t="s">
        <v>18</v>
      </c>
    </row>
    <row r="19" spans="1:13" ht="31.5" x14ac:dyDescent="0.25">
      <c r="A19" s="15" t="s">
        <v>11</v>
      </c>
      <c r="B19" s="5">
        <v>20</v>
      </c>
      <c r="C19" s="5">
        <f>D9</f>
        <v>6.7</v>
      </c>
      <c r="D19" s="5">
        <v>5000</v>
      </c>
      <c r="E19" s="12"/>
      <c r="F19" s="5"/>
      <c r="G19" s="5"/>
      <c r="H19" s="5"/>
      <c r="I19" s="5"/>
      <c r="J19" s="5"/>
      <c r="K19" s="5"/>
      <c r="L19" s="5"/>
      <c r="M19" s="8"/>
    </row>
    <row r="20" spans="1:13" ht="31.5" x14ac:dyDescent="0.25">
      <c r="A20" s="15" t="s">
        <v>14</v>
      </c>
      <c r="B20" s="5">
        <v>20</v>
      </c>
      <c r="C20" s="5">
        <f>D10-D11</f>
        <v>2</v>
      </c>
      <c r="D20" s="5">
        <v>5000</v>
      </c>
      <c r="E20" s="12"/>
      <c r="F20" s="5"/>
      <c r="G20" s="5"/>
      <c r="H20" s="5"/>
      <c r="I20" s="5">
        <f>B20*C20</f>
        <v>40</v>
      </c>
      <c r="J20" s="5" t="s">
        <v>26</v>
      </c>
      <c r="K20" s="5">
        <f>(4.7-D11)*10</f>
        <v>7.0000000000000018</v>
      </c>
      <c r="L20" s="5">
        <f>I20-K20</f>
        <v>33</v>
      </c>
      <c r="M20" s="8"/>
    </row>
    <row r="21" spans="1:13" ht="31.5" x14ac:dyDescent="0.25">
      <c r="A21" s="32" t="s">
        <v>15</v>
      </c>
      <c r="B21" s="6">
        <v>17</v>
      </c>
      <c r="C21" s="6">
        <f>D11-D12</f>
        <v>3.5</v>
      </c>
      <c r="D21" s="6"/>
      <c r="E21" s="33">
        <f>0.00000006</f>
        <v>5.9999999999999995E-8</v>
      </c>
      <c r="F21" s="6">
        <v>0.21</v>
      </c>
      <c r="G21" s="6">
        <v>1.2E-2</v>
      </c>
      <c r="H21" s="6">
        <v>25</v>
      </c>
      <c r="I21" s="6">
        <f>I20+0.5*B21*C21</f>
        <v>69.75</v>
      </c>
      <c r="J21" s="6" t="s">
        <v>28</v>
      </c>
      <c r="K21" s="6">
        <f>K20</f>
        <v>7.0000000000000018</v>
      </c>
      <c r="L21" s="6">
        <f>I21-K21</f>
        <v>62.75</v>
      </c>
      <c r="M21" s="34"/>
    </row>
    <row r="22" spans="1:13" ht="16.5" thickBot="1" x14ac:dyDescent="0.3">
      <c r="A22" s="16" t="s">
        <v>16</v>
      </c>
      <c r="B22" s="9"/>
      <c r="C22" s="9">
        <f>D12-D13</f>
        <v>0.5</v>
      </c>
      <c r="D22" s="9">
        <v>7000</v>
      </c>
      <c r="E22" s="13"/>
      <c r="F22" s="9"/>
      <c r="G22" s="9"/>
      <c r="H22" s="9"/>
      <c r="I22" s="9"/>
      <c r="J22" s="9"/>
      <c r="K22" s="9"/>
      <c r="L22" s="9"/>
      <c r="M22" s="11"/>
    </row>
    <row r="24" spans="1:13" ht="16.5" thickBot="1" x14ac:dyDescent="0.3"/>
    <row r="25" spans="1:13" ht="31.5" x14ac:dyDescent="0.25">
      <c r="A25" s="35" t="s">
        <v>33</v>
      </c>
      <c r="B25" s="36" t="s">
        <v>37</v>
      </c>
      <c r="C25" s="36" t="s">
        <v>38</v>
      </c>
      <c r="D25" s="36" t="s">
        <v>39</v>
      </c>
      <c r="E25" s="36" t="s">
        <v>48</v>
      </c>
      <c r="F25" s="36" t="s">
        <v>40</v>
      </c>
      <c r="G25" s="37" t="s">
        <v>41</v>
      </c>
    </row>
    <row r="26" spans="1:13" x14ac:dyDescent="0.25">
      <c r="A26" s="38" t="s">
        <v>22</v>
      </c>
      <c r="B26" s="39">
        <v>15</v>
      </c>
      <c r="C26" s="39">
        <v>15</v>
      </c>
      <c r="D26" s="39">
        <v>15</v>
      </c>
      <c r="E26" s="39">
        <v>15</v>
      </c>
      <c r="F26" s="39">
        <v>15</v>
      </c>
      <c r="G26" s="39">
        <v>15</v>
      </c>
    </row>
    <row r="27" spans="1:13" ht="31.5" x14ac:dyDescent="0.25">
      <c r="A27" s="38" t="s">
        <v>23</v>
      </c>
      <c r="B27" s="39">
        <f>B26*C20/$D$20</f>
        <v>6.0000000000000001E-3</v>
      </c>
      <c r="C27" s="39">
        <f>C26*(E10-E11)/$D$20</f>
        <v>5.749999999999999E-3</v>
      </c>
      <c r="D27" s="39">
        <f t="shared" ref="D27:G27" si="2">D26*(F10-F11)/$D$20</f>
        <v>5.5000000000000005E-3</v>
      </c>
      <c r="E27" s="39">
        <f t="shared" si="2"/>
        <v>5.3749999999999996E-3</v>
      </c>
      <c r="F27" s="39">
        <f t="shared" si="2"/>
        <v>4.9375000000000009E-3</v>
      </c>
      <c r="G27" s="40">
        <f t="shared" si="2"/>
        <v>4.4999999999999997E-3</v>
      </c>
    </row>
    <row r="28" spans="1:13" x14ac:dyDescent="0.25">
      <c r="A28" s="41" t="s">
        <v>24</v>
      </c>
      <c r="B28" s="42">
        <f>G21*LOG10((L21+B26)/(L21))*C21</f>
        <v>3.9096400369235743E-3</v>
      </c>
      <c r="C28" s="42">
        <f>0.0068</f>
        <v>6.7999999999999996E-3</v>
      </c>
      <c r="D28" s="42">
        <v>4.5999999999999999E-3</v>
      </c>
      <c r="E28" s="42">
        <v>4.7000000000000002E-3</v>
      </c>
      <c r="F28" s="42">
        <v>5.1000000000000004E-3</v>
      </c>
      <c r="G28" s="43">
        <f>0.0056</f>
        <v>5.5999999999999999E-3</v>
      </c>
    </row>
    <row r="29" spans="1:13" ht="16.5" thickBot="1" x14ac:dyDescent="0.3">
      <c r="A29" s="44" t="s">
        <v>31</v>
      </c>
      <c r="B29" s="45">
        <f>B26*C22/$D$22</f>
        <v>1.0714285714285715E-3</v>
      </c>
      <c r="C29" s="45">
        <f>C26*(E12-E13)/$D$22</f>
        <v>1.25E-3</v>
      </c>
      <c r="D29" s="45">
        <f t="shared" ref="D29:G29" si="3">D26*(F12-F13)/$D$22</f>
        <v>1.4285714285714288E-3</v>
      </c>
      <c r="E29" s="45">
        <f t="shared" si="3"/>
        <v>1.5178571428571426E-3</v>
      </c>
      <c r="F29" s="45">
        <f t="shared" si="3"/>
        <v>1.8303571428571429E-3</v>
      </c>
      <c r="G29" s="46">
        <f t="shared" si="3"/>
        <v>2.142857142857143E-3</v>
      </c>
    </row>
    <row r="32" spans="1:13" x14ac:dyDescent="0.25">
      <c r="A32" s="1" t="s">
        <v>32</v>
      </c>
      <c r="B32" s="4">
        <f>E21/(C21^2)</f>
        <v>4.8979591836734685E-9</v>
      </c>
    </row>
    <row r="35" spans="3:11" x14ac:dyDescent="0.25">
      <c r="C35" s="28" t="s">
        <v>34</v>
      </c>
      <c r="D35" s="29" t="s">
        <v>35</v>
      </c>
      <c r="E35" s="24" t="s">
        <v>36</v>
      </c>
      <c r="F35" s="24" t="s">
        <v>42</v>
      </c>
      <c r="G35" s="24" t="s">
        <v>43</v>
      </c>
      <c r="H35" s="24" t="s">
        <v>44</v>
      </c>
      <c r="I35" s="24" t="s">
        <v>45</v>
      </c>
      <c r="J35" s="30" t="s">
        <v>46</v>
      </c>
      <c r="K35" s="31" t="s">
        <v>47</v>
      </c>
    </row>
    <row r="36" spans="3:11" x14ac:dyDescent="0.25">
      <c r="C36" s="5">
        <v>0</v>
      </c>
      <c r="D36" s="5">
        <v>0</v>
      </c>
      <c r="E36" s="12">
        <f>D36/B$32/(24*3600)</f>
        <v>0</v>
      </c>
      <c r="F36" s="5">
        <f>B$28*$C36/100+B$27+B$29+Tassement_sans_surchage!F$68</f>
        <v>7.0714285714285714E-3</v>
      </c>
      <c r="G36" s="5">
        <f>C$28*$C36/100+C$27+C$29+Tassement_sans_surchage!G$68</f>
        <v>6.9999999999999993E-3</v>
      </c>
      <c r="H36" s="5">
        <f>D$28*$C36/100+D$27+D$29+Tassement_sans_surchage!H$68</f>
        <v>6.9285714285714298E-3</v>
      </c>
      <c r="I36" s="5">
        <f>E$28*$C36/100+E$27+E$29+Tassement_sans_surchage!I$68</f>
        <v>6.8928571428571424E-3</v>
      </c>
      <c r="J36" s="5">
        <f>F$28*$C36/100+F$27+F$29+Tassement_sans_surchage!J$68</f>
        <v>6.767857142857144E-3</v>
      </c>
      <c r="K36" s="5">
        <f>G$28*$C36/100+G$27+G$29+Tassement_sans_surchage!K$68</f>
        <v>6.6428571428571431E-3</v>
      </c>
    </row>
    <row r="37" spans="3:11" x14ac:dyDescent="0.25">
      <c r="C37" s="5">
        <v>5</v>
      </c>
      <c r="D37" s="5">
        <v>2E-3</v>
      </c>
      <c r="E37" s="12">
        <f t="shared" ref="E37:E59" si="4">D37/B$32/(24*3600)</f>
        <v>4.7260802469135816</v>
      </c>
      <c r="F37" s="5">
        <f>B$28*$C37/100+B$27+B$29+Tassement_sans_surchage!F$68</f>
        <v>7.2669105732747503E-3</v>
      </c>
      <c r="G37" s="5">
        <f>C$28*$C37/100+C$27+C$29+Tassement_sans_surchage!G$68</f>
        <v>7.3399999999999993E-3</v>
      </c>
      <c r="H37" s="5">
        <f>D$28*$C37/100+D$27+D$29+Tassement_sans_surchage!H$68</f>
        <v>7.1585714285714291E-3</v>
      </c>
      <c r="I37" s="5">
        <f>E$28*$C37/100+E$27+E$29+Tassement_sans_surchage!I$68</f>
        <v>7.1278571428571424E-3</v>
      </c>
      <c r="J37" s="5">
        <f>F$28*$C37/100+F$27+F$29+Tassement_sans_surchage!J$68</f>
        <v>7.0228571428571441E-3</v>
      </c>
      <c r="K37" s="5">
        <f>G$28*$C37/100+G$27+G$29+Tassement_sans_surchage!K$68</f>
        <v>6.9228571428571421E-3</v>
      </c>
    </row>
    <row r="38" spans="3:11" x14ac:dyDescent="0.25">
      <c r="C38" s="5">
        <v>7.1</v>
      </c>
      <c r="D38" s="5">
        <v>4.0000000000000001E-3</v>
      </c>
      <c r="E38" s="12">
        <f t="shared" si="4"/>
        <v>9.4521604938271633</v>
      </c>
      <c r="F38" s="5">
        <f>B$28*$C38/100+B$27+B$29+Tassement_sans_surchage!F$68</f>
        <v>7.3490130140501453E-3</v>
      </c>
      <c r="G38" s="5">
        <f>C$28*$C38/100+C$27+C$29+Tassement_sans_surchage!G$68</f>
        <v>7.4827999999999995E-3</v>
      </c>
      <c r="H38" s="5">
        <f>D$28*$C38/100+D$27+D$29+Tassement_sans_surchage!H$68</f>
        <v>7.2551714285714296E-3</v>
      </c>
      <c r="I38" s="5">
        <f>E$28*$C38/100+E$27+E$29+Tassement_sans_surchage!I$68</f>
        <v>7.2265571428571426E-3</v>
      </c>
      <c r="J38" s="5">
        <f>F$28*$C38/100+F$27+F$29+Tassement_sans_surchage!J$68</f>
        <v>7.1299571428571438E-3</v>
      </c>
      <c r="K38" s="5">
        <f>G$28*$C38/100+G$27+G$29+Tassement_sans_surchage!K$68</f>
        <v>7.0404571428571427E-3</v>
      </c>
    </row>
    <row r="39" spans="3:11" x14ac:dyDescent="0.25">
      <c r="C39" s="5">
        <v>10</v>
      </c>
      <c r="D39" s="5">
        <v>8.0000000000000002E-3</v>
      </c>
      <c r="E39" s="12">
        <f t="shared" si="4"/>
        <v>18.904320987654327</v>
      </c>
      <c r="F39" s="5">
        <f>B$28*$C39/100+B$27+B$29+Tassement_sans_surchage!F$68</f>
        <v>7.4623925751209292E-3</v>
      </c>
      <c r="G39" s="5">
        <f>C$28*$C39/100+C$27+C$29+Tassement_sans_surchage!G$68</f>
        <v>7.6799999999999993E-3</v>
      </c>
      <c r="H39" s="5">
        <f>D$28*$C39/100+D$27+D$29+Tassement_sans_surchage!H$68</f>
        <v>7.3885714285714301E-3</v>
      </c>
      <c r="I39" s="5">
        <f>E$28*$C39/100+E$27+E$29+Tassement_sans_surchage!I$68</f>
        <v>7.3628571428571423E-3</v>
      </c>
      <c r="J39" s="5">
        <f>F$28*$C39/100+F$27+F$29+Tassement_sans_surchage!J$68</f>
        <v>7.2778571428571441E-3</v>
      </c>
      <c r="K39" s="5">
        <f>G$28*$C39/100+G$27+G$29+Tassement_sans_surchage!K$68</f>
        <v>7.2028571428571428E-3</v>
      </c>
    </row>
    <row r="40" spans="3:11" x14ac:dyDescent="0.25">
      <c r="C40" s="5">
        <v>12.4</v>
      </c>
      <c r="D40" s="5">
        <v>1.2E-2</v>
      </c>
      <c r="E40" s="12">
        <f t="shared" si="4"/>
        <v>28.356481481481488</v>
      </c>
      <c r="F40" s="5">
        <f>B$28*$C40/100+B$27+B$29+Tassement_sans_surchage!F$68</f>
        <v>7.5562239360070947E-3</v>
      </c>
      <c r="G40" s="5">
        <f>C$28*$C40/100+C$27+C$29+Tassement_sans_surchage!G$68</f>
        <v>7.8431999999999981E-3</v>
      </c>
      <c r="H40" s="5">
        <f>D$28*$C40/100+D$27+D$29+Tassement_sans_surchage!H$68</f>
        <v>7.4989714285714285E-3</v>
      </c>
      <c r="I40" s="5">
        <f>E$28*$C40/100+E$27+E$29+Tassement_sans_surchage!I$68</f>
        <v>7.475657142857142E-3</v>
      </c>
      <c r="J40" s="5">
        <f>F$28*$C40/100+F$27+F$29+Tassement_sans_surchage!J$68</f>
        <v>7.400257142857144E-3</v>
      </c>
      <c r="K40" s="5">
        <f>G$28*$C40/100+G$27+G$29+Tassement_sans_surchage!K$68</f>
        <v>7.3372571428571426E-3</v>
      </c>
    </row>
    <row r="41" spans="3:11" x14ac:dyDescent="0.25">
      <c r="C41" s="5">
        <v>15</v>
      </c>
      <c r="D41" s="5">
        <v>1.7999999999999999E-2</v>
      </c>
      <c r="E41" s="12">
        <f t="shared" si="4"/>
        <v>42.534722222222229</v>
      </c>
      <c r="F41" s="5">
        <f>B$28*$C41/100+B$27+B$29+Tassement_sans_surchage!F$68</f>
        <v>7.6578745769671072E-3</v>
      </c>
      <c r="G41" s="5">
        <f>C$28*$C41/100+C$27+C$29+Tassement_sans_surchage!G$68</f>
        <v>8.0199999999999994E-3</v>
      </c>
      <c r="H41" s="5">
        <f>D$28*$C41/100+D$27+D$29+Tassement_sans_surchage!H$68</f>
        <v>7.6185714285714294E-3</v>
      </c>
      <c r="I41" s="5">
        <f>E$28*$C41/100+E$27+E$29+Tassement_sans_surchage!I$68</f>
        <v>7.5978571428571423E-3</v>
      </c>
      <c r="J41" s="5">
        <f>F$28*$C41/100+F$27+F$29+Tassement_sans_surchage!J$68</f>
        <v>7.5328571428571441E-3</v>
      </c>
      <c r="K41" s="5">
        <f>G$28*$C41/100+G$27+G$29+Tassement_sans_surchage!K$68</f>
        <v>7.4828571428571418E-3</v>
      </c>
    </row>
    <row r="42" spans="3:11" x14ac:dyDescent="0.25">
      <c r="C42" s="5">
        <v>16</v>
      </c>
      <c r="D42" s="5">
        <v>0.02</v>
      </c>
      <c r="E42" s="12">
        <f t="shared" si="4"/>
        <v>47.260802469135811</v>
      </c>
      <c r="F42" s="5">
        <f>B$28*$C42/100+B$27+B$29+Tassement_sans_surchage!F$68</f>
        <v>7.696970977336343E-3</v>
      </c>
      <c r="G42" s="5">
        <f>C$28*$C42/100+C$27+C$29+Tassement_sans_surchage!G$68</f>
        <v>8.087999999999998E-3</v>
      </c>
      <c r="H42" s="5">
        <f>D$28*$C42/100+D$27+D$29+Tassement_sans_surchage!H$68</f>
        <v>7.6645714285714286E-3</v>
      </c>
      <c r="I42" s="5">
        <f>E$28*$C42/100+E$27+E$29+Tassement_sans_surchage!I$68</f>
        <v>7.6448571428571425E-3</v>
      </c>
      <c r="J42" s="5">
        <f>F$28*$C42/100+F$27+F$29+Tassement_sans_surchage!J$68</f>
        <v>7.5838571428571439E-3</v>
      </c>
      <c r="K42" s="5">
        <f>G$28*$C42/100+G$27+G$29+Tassement_sans_surchage!K$68</f>
        <v>7.5388571428571423E-3</v>
      </c>
    </row>
    <row r="43" spans="3:11" x14ac:dyDescent="0.25">
      <c r="C43" s="5">
        <v>18.899999999999999</v>
      </c>
      <c r="D43" s="5">
        <v>2.8000000000000001E-2</v>
      </c>
      <c r="E43" s="12">
        <f t="shared" si="4"/>
        <v>66.165123456790141</v>
      </c>
      <c r="F43" s="5">
        <f>B$28*$C43/100+B$27+B$29+Tassement_sans_surchage!F$69</f>
        <v>2.1003215551951761E-2</v>
      </c>
      <c r="G43" s="5">
        <f>C$28*$C43/100+C$27+C$29+Tassement_sans_surchage!G$69</f>
        <v>2.0285199999999982E-2</v>
      </c>
      <c r="H43" s="5">
        <f>D$28*$C43/100+D$27+D$29+Tassement_sans_surchage!H$69</f>
        <v>1.8797971428571411E-2</v>
      </c>
      <c r="I43" s="5">
        <f>E$28*$C43/100+E$27+E$29+Tassement_sans_surchage!I$69</f>
        <v>1.8281157142857139E-2</v>
      </c>
      <c r="J43" s="5">
        <f>F$28*$C43/100+F$27+F$29+Tassement_sans_surchage!J$69</f>
        <v>1.4731757142857151E-2</v>
      </c>
      <c r="K43" s="5">
        <f>G$28*$C43/100+G$27+G$29+Tassement_sans_surchage!K$69</f>
        <v>1.0201257142857138E-2</v>
      </c>
    </row>
    <row r="44" spans="3:11" x14ac:dyDescent="0.25">
      <c r="C44" s="5">
        <v>20</v>
      </c>
      <c r="D44" s="5">
        <v>0.03</v>
      </c>
      <c r="E44" s="12">
        <f t="shared" si="4"/>
        <v>70.891203703703709</v>
      </c>
      <c r="F44" s="5">
        <f>B$28*$C44/100+B$27+B$29+Tassement_sans_surchage!F$69</f>
        <v>2.1046221592357924E-2</v>
      </c>
      <c r="G44" s="5">
        <f>C$28*$C44/100+C$27+C$29+Tassement_sans_surchage!G$69</f>
        <v>2.0359999999999982E-2</v>
      </c>
      <c r="H44" s="5">
        <f>D$28*$C44/100+D$27+D$29+Tassement_sans_surchage!H$69</f>
        <v>1.8848571428571409E-2</v>
      </c>
      <c r="I44" s="5">
        <f>E$28*$C44/100+E$27+E$29+Tassement_sans_surchage!I$69</f>
        <v>1.8332857142857137E-2</v>
      </c>
      <c r="J44" s="5">
        <f>F$28*$C44/100+F$27+F$29+Tassement_sans_surchage!J$69</f>
        <v>1.4787857142857151E-2</v>
      </c>
      <c r="K44" s="5">
        <f>G$28*$C44/100+G$27+G$29+Tassement_sans_surchage!K$69</f>
        <v>1.0262857142857138E-2</v>
      </c>
    </row>
    <row r="45" spans="3:11" x14ac:dyDescent="0.25">
      <c r="C45" s="5">
        <v>25</v>
      </c>
      <c r="D45" s="5">
        <v>4.9000000000000002E-2</v>
      </c>
      <c r="E45" s="12">
        <f t="shared" si="4"/>
        <v>115.78896604938274</v>
      </c>
      <c r="F45" s="5">
        <f>B$28*$C45/100+B$27+B$29+Tassement_sans_surchage!F$69</f>
        <v>2.1241703594204103E-2</v>
      </c>
      <c r="G45" s="5">
        <f>C$28*$C45/100+C$27+C$29+Tassement_sans_surchage!G$69</f>
        <v>2.0699999999999982E-2</v>
      </c>
      <c r="H45" s="5">
        <f>D$28*$C45/100+D$27+D$29+Tassement_sans_surchage!H$69</f>
        <v>1.907857142857141E-2</v>
      </c>
      <c r="I45" s="5">
        <f>E$28*$C45/100+E$27+E$29+Tassement_sans_surchage!I$69</f>
        <v>1.8567857142857136E-2</v>
      </c>
      <c r="J45" s="5">
        <f>F$28*$C45/100+F$27+F$29+Tassement_sans_surchage!J$69</f>
        <v>1.5042857142857149E-2</v>
      </c>
      <c r="K45" s="5">
        <f>G$28*$C45/100+G$27+G$29+Tassement_sans_surchage!K$69</f>
        <v>1.0542857142857137E-2</v>
      </c>
    </row>
    <row r="46" spans="3:11" x14ac:dyDescent="0.25">
      <c r="C46" s="5">
        <v>30</v>
      </c>
      <c r="D46" s="5">
        <v>7.0000000000000007E-2</v>
      </c>
      <c r="E46" s="12">
        <f t="shared" si="4"/>
        <v>165.41280864197535</v>
      </c>
      <c r="F46" s="5">
        <f>B$28*$C46/100+B$27+B$29+Tassement_sans_surchage!F70</f>
        <v>3.4630050609594912E-2</v>
      </c>
      <c r="G46" s="5">
        <f>C$28*$C46/100+C$27+C$29+Tassement_sans_surchage!G70</f>
        <v>3.3039999999999993E-2</v>
      </c>
      <c r="H46" s="5">
        <f>D$28*$C46/100+D$27+D$29+Tassement_sans_surchage!H70</f>
        <v>3.0308571428571421E-2</v>
      </c>
      <c r="I46" s="5">
        <f>E$28*$C46/100+E$27+E$29+Tassement_sans_surchage!I70</f>
        <v>2.9302857142857144E-2</v>
      </c>
      <c r="J46" s="5">
        <f>F$28*$C46/100+F$27+F$29+Tassement_sans_surchage!J70</f>
        <v>2.2297857142857154E-2</v>
      </c>
      <c r="K46" s="5">
        <f>G$28*$C46/100+G$27+G$29+Tassement_sans_surchage!K70</f>
        <v>1.3322857142857147E-2</v>
      </c>
    </row>
    <row r="47" spans="3:11" x14ac:dyDescent="0.25">
      <c r="C47" s="5">
        <v>35</v>
      </c>
      <c r="D47" s="5">
        <v>9.6000000000000002E-2</v>
      </c>
      <c r="E47" s="12">
        <f t="shared" si="4"/>
        <v>226.8518518518519</v>
      </c>
      <c r="F47" s="5">
        <f>B$28*$C47/100+B$27+B$29+Tassement_sans_surchage!F71</f>
        <v>4.8018397624985734E-2</v>
      </c>
      <c r="G47" s="5">
        <f>C$28*$C47/100+C$27+C$29+Tassement_sans_surchage!G71</f>
        <v>4.5379999999999976E-2</v>
      </c>
      <c r="H47" s="5">
        <f>D$28*$C47/100+D$27+D$29+Tassement_sans_surchage!H71</f>
        <v>4.1538571428571432E-2</v>
      </c>
      <c r="I47" s="5">
        <f>E$28*$C47/100+E$27+E$29+Tassement_sans_surchage!I71</f>
        <v>4.0037857142857153E-2</v>
      </c>
      <c r="J47" s="5">
        <f>F$28*$C47/100+F$27+F$29+Tassement_sans_surchage!J71</f>
        <v>2.9552857142857162E-2</v>
      </c>
      <c r="K47" s="5">
        <f>G$28*$C47/100+G$27+G$29+Tassement_sans_surchage!K71</f>
        <v>1.6102857142857141E-2</v>
      </c>
    </row>
    <row r="48" spans="3:11" x14ac:dyDescent="0.25">
      <c r="C48" s="5">
        <v>40</v>
      </c>
      <c r="D48" s="5">
        <v>0.13</v>
      </c>
      <c r="E48" s="12">
        <f t="shared" si="4"/>
        <v>307.19521604938279</v>
      </c>
      <c r="F48" s="5">
        <f>B$28*$C48/100+B$27+B$29+Tassement_sans_surchage!F72</f>
        <v>6.1406744640376543E-2</v>
      </c>
      <c r="G48" s="5">
        <f>C$28*$C48/100+C$27+C$29+Tassement_sans_surchage!G72</f>
        <v>5.7719999999999987E-2</v>
      </c>
      <c r="H48" s="5">
        <f>D$28*$C48/100+D$27+D$29+Tassement_sans_surchage!H72</f>
        <v>5.2768571428571415E-2</v>
      </c>
      <c r="I48" s="5">
        <f>E$28*$C48/100+E$27+E$29+Tassement_sans_surchage!I72</f>
        <v>5.0772857142857133E-2</v>
      </c>
      <c r="J48" s="5">
        <f>F$28*$C48/100+F$27+F$29+Tassement_sans_surchage!J72</f>
        <v>3.6807857142857142E-2</v>
      </c>
      <c r="K48" s="5">
        <f>G$28*$C48/100+G$27+G$29+Tassement_sans_surchage!K72</f>
        <v>1.8882857142857146E-2</v>
      </c>
    </row>
    <row r="49" spans="3:11" x14ac:dyDescent="0.25">
      <c r="C49" s="5">
        <v>45</v>
      </c>
      <c r="D49" s="5">
        <v>0.159</v>
      </c>
      <c r="E49" s="12">
        <f t="shared" si="4"/>
        <v>375.72337962962973</v>
      </c>
      <c r="F49" s="5">
        <f>B$28*$C49/100+B$27+B$29+Tassement_sans_surchage!F73</f>
        <v>7.4795091655767365E-2</v>
      </c>
      <c r="G49" s="5">
        <f>C$28*$C49/100+C$27+C$29+Tassement_sans_surchage!G73</f>
        <v>7.0059999999999997E-2</v>
      </c>
      <c r="H49" s="5">
        <f>D$28*$C49/100+D$27+D$29+Tassement_sans_surchage!H73</f>
        <v>6.3998571428571419E-2</v>
      </c>
      <c r="I49" s="5">
        <f>E$28*$C49/100+E$27+E$29+Tassement_sans_surchage!I73</f>
        <v>6.1507857142857149E-2</v>
      </c>
      <c r="J49" s="5">
        <f>F$28*$C49/100+F$27+F$29+Tassement_sans_surchage!J73</f>
        <v>4.4062857142857147E-2</v>
      </c>
      <c r="K49" s="5">
        <f>G$28*$C49/100+G$27+G$29+Tassement_sans_surchage!K73</f>
        <v>2.1662857142857147E-2</v>
      </c>
    </row>
    <row r="50" spans="3:11" x14ac:dyDescent="0.25">
      <c r="C50" s="5">
        <v>50</v>
      </c>
      <c r="D50" s="5">
        <v>0.2</v>
      </c>
      <c r="E50" s="12">
        <f t="shared" si="4"/>
        <v>472.60802469135814</v>
      </c>
      <c r="F50" s="5">
        <f>B$28*$C50/100+B$27+B$29+Tassement_sans_surchage!F74</f>
        <v>8.8183438671158174E-2</v>
      </c>
      <c r="G50" s="5">
        <f>C$28*$C50/100+C$27+C$29+Tassement_sans_surchage!G74</f>
        <v>8.2399999999999973E-2</v>
      </c>
      <c r="H50" s="5">
        <f>D$28*$C50/100+D$27+D$29+Tassement_sans_surchage!H74</f>
        <v>7.5228571428571436E-2</v>
      </c>
      <c r="I50" s="5">
        <f>E$28*$C50/100+E$27+E$29+Tassement_sans_surchage!I74</f>
        <v>7.2242857142857123E-2</v>
      </c>
      <c r="J50" s="5">
        <f>F$28*$C50/100+F$27+F$29+Tassement_sans_surchage!J74</f>
        <v>5.1317857142857151E-2</v>
      </c>
      <c r="K50" s="5">
        <f>G$28*$C50/100+G$27+G$29+Tassement_sans_surchage!K74</f>
        <v>2.4442857142857141E-2</v>
      </c>
    </row>
    <row r="51" spans="3:11" x14ac:dyDescent="0.25">
      <c r="C51" s="5">
        <v>55</v>
      </c>
      <c r="D51" s="5">
        <v>0.23899999999999999</v>
      </c>
      <c r="E51" s="12">
        <f t="shared" si="4"/>
        <v>564.76658950617298</v>
      </c>
      <c r="F51" s="5">
        <f>B$28*$C51/100+B$27+B$29+Tassement_sans_surchage!F75</f>
        <v>0.10157178568654898</v>
      </c>
      <c r="G51" s="5">
        <f>C$28*$C51/100+C$27+C$29+Tassement_sans_surchage!G75</f>
        <v>9.4739999999999991E-2</v>
      </c>
      <c r="H51" s="5">
        <f>D$28*$C51/100+D$27+D$29+Tassement_sans_surchage!H75</f>
        <v>8.645857142857144E-2</v>
      </c>
      <c r="I51" s="5">
        <f>E$28*$C51/100+E$27+E$29+Tassement_sans_surchage!I75</f>
        <v>8.2977857142857131E-2</v>
      </c>
      <c r="J51" s="5">
        <f>F$28*$C51/100+F$27+F$29+Tassement_sans_surchage!J75</f>
        <v>5.8572857142857163E-2</v>
      </c>
      <c r="K51" s="5">
        <f>G$28*$C51/100+G$27+G$29+Tassement_sans_surchage!K75</f>
        <v>2.7222857142857146E-2</v>
      </c>
    </row>
    <row r="52" spans="3:11" x14ac:dyDescent="0.25">
      <c r="C52" s="5">
        <v>60</v>
      </c>
      <c r="D52" s="5">
        <v>0.28599999999999998</v>
      </c>
      <c r="E52" s="12">
        <f t="shared" si="4"/>
        <v>675.82947530864203</v>
      </c>
      <c r="F52" s="5">
        <f>B$28*$C52/100+B$27+B$29+Tassement_sans_surchage!F76</f>
        <v>0.1149601327019398</v>
      </c>
      <c r="G52" s="5">
        <f>C$28*$C52/100+C$27+C$29+Tassement_sans_surchage!G76</f>
        <v>0.10707999999999997</v>
      </c>
      <c r="H52" s="5">
        <f>D$28*$C52/100+D$27+D$29+Tassement_sans_surchage!H76</f>
        <v>9.768857142857143E-2</v>
      </c>
      <c r="I52" s="5">
        <f>E$28*$C52/100+E$27+E$29+Tassement_sans_surchage!I76</f>
        <v>9.3712857142857153E-2</v>
      </c>
      <c r="J52" s="5">
        <f>F$28*$C52/100+F$27+F$29+Tassement_sans_surchage!J76</f>
        <v>6.5827857142857132E-2</v>
      </c>
      <c r="K52" s="5">
        <f>G$28*$C52/100+G$27+G$29+Tassement_sans_surchage!K76</f>
        <v>3.0002857142857137E-2</v>
      </c>
    </row>
    <row r="53" spans="3:11" x14ac:dyDescent="0.25">
      <c r="C53" s="5">
        <v>70</v>
      </c>
      <c r="D53" s="5">
        <v>0.40300000000000002</v>
      </c>
      <c r="E53" s="12">
        <f t="shared" si="4"/>
        <v>952.3051697530866</v>
      </c>
      <c r="F53" s="5">
        <f>B$28*$C53/100+B$27+B$29+Tassement_sans_surchage!F77</f>
        <v>0.12854396171917679</v>
      </c>
      <c r="G53" s="5">
        <f>C$28*$C53/100+C$27+C$29+Tassement_sans_surchage!G77</f>
        <v>0.11975999999999998</v>
      </c>
      <c r="H53" s="5">
        <f>D$28*$C53/100+D$27+D$29+Tassement_sans_surchage!H77</f>
        <v>0.10914857142857143</v>
      </c>
      <c r="I53" s="5">
        <f>E$28*$C53/100+E$27+E$29+Tassement_sans_surchage!I77</f>
        <v>0.10468285714285716</v>
      </c>
      <c r="J53" s="5">
        <f>F$28*$C53/100+F$27+F$29+Tassement_sans_surchage!J77</f>
        <v>7.3337857142857149E-2</v>
      </c>
      <c r="K53" s="5">
        <f>G$28*$C53/100+G$27+G$29+Tassement_sans_surchage!K77</f>
        <v>3.3062857142857151E-2</v>
      </c>
    </row>
    <row r="54" spans="3:11" x14ac:dyDescent="0.25">
      <c r="C54" s="5">
        <v>75</v>
      </c>
      <c r="D54" s="5">
        <v>0.47699999999999998</v>
      </c>
      <c r="E54" s="12">
        <f t="shared" si="4"/>
        <v>1127.1701388888891</v>
      </c>
      <c r="F54" s="5">
        <f>B$28*$C54/100+B$27+B$29+Tassement_sans_surchage!F78</f>
        <v>0.14193230873456758</v>
      </c>
      <c r="G54" s="5">
        <f>C$28*$C54/100+C$27+C$29+Tassement_sans_surchage!G78</f>
        <v>0.1321</v>
      </c>
      <c r="H54" s="5">
        <f>D$28*$C54/100+D$27+D$29+Tassement_sans_surchage!H78</f>
        <v>0.12037857142857145</v>
      </c>
      <c r="I54" s="5">
        <f>E$28*$C54/100+E$27+E$29+Tassement_sans_surchage!I78</f>
        <v>0.11541785714285717</v>
      </c>
      <c r="J54" s="5">
        <f>F$28*$C54/100+F$27+F$29+Tassement_sans_surchage!J78</f>
        <v>8.0592857142857147E-2</v>
      </c>
      <c r="K54" s="5">
        <f>G$28*$C54/100+G$27+G$29+Tassement_sans_surchage!K78</f>
        <v>3.5842857142857149E-2</v>
      </c>
    </row>
    <row r="55" spans="3:11" x14ac:dyDescent="0.25">
      <c r="C55" s="5">
        <v>80</v>
      </c>
      <c r="D55" s="5">
        <v>0.56999999999999995</v>
      </c>
      <c r="E55" s="12">
        <f t="shared" si="4"/>
        <v>1346.9328703703704</v>
      </c>
      <c r="F55" s="5">
        <f>B$28*$C55/100+B$27+B$29+Tassement_sans_surchage!F79</f>
        <v>0.15532065574995843</v>
      </c>
      <c r="G55" s="5">
        <f>C$28*$C55/100+C$27+C$29+Tassement_sans_surchage!G79</f>
        <v>0.14443999999999996</v>
      </c>
      <c r="H55" s="5">
        <f>D$28*$C55/100+D$27+D$29+Tassement_sans_surchage!H79</f>
        <v>0.13160857142857144</v>
      </c>
      <c r="I55" s="5">
        <f>E$28*$C55/100+E$27+E$29+Tassement_sans_surchage!I79</f>
        <v>0.12615285714285712</v>
      </c>
      <c r="J55" s="5">
        <f>F$28*$C55/100+F$27+F$29+Tassement_sans_surchage!J79</f>
        <v>8.7847857142857158E-2</v>
      </c>
      <c r="K55" s="5">
        <f>G$28*$C55/100+G$27+G$29+Tassement_sans_surchage!K79</f>
        <v>3.8622857142857146E-2</v>
      </c>
    </row>
    <row r="56" spans="3:11" x14ac:dyDescent="0.25">
      <c r="C56" s="5">
        <v>85</v>
      </c>
      <c r="D56" s="5">
        <v>0.68400000000000005</v>
      </c>
      <c r="E56" s="12">
        <f t="shared" si="4"/>
        <v>1616.3194444444448</v>
      </c>
      <c r="F56" s="5">
        <f>B$28*$C56/100+B$27+B$29+Tassement_sans_surchage!F80</f>
        <v>0.16870900276534928</v>
      </c>
      <c r="G56" s="5">
        <f>C$28*$C56/100+C$27+C$29+Tassement_sans_surchage!G80</f>
        <v>0.15677999999999995</v>
      </c>
      <c r="H56" s="5">
        <f>D$28*$C56/100+D$27+D$29+Tassement_sans_surchage!H80</f>
        <v>0.14283857142857143</v>
      </c>
      <c r="I56" s="5">
        <f>E$28*$C56/100+E$27+E$29+Tassement_sans_surchage!I80</f>
        <v>0.13688785714285714</v>
      </c>
      <c r="J56" s="5">
        <f>F$28*$C56/100+F$27+F$29+Tassement_sans_surchage!J80</f>
        <v>9.5102857142857156E-2</v>
      </c>
      <c r="K56" s="5">
        <f>G$28*$C56/100+G$27+G$29+Tassement_sans_surchage!K80</f>
        <v>4.1402857142857144E-2</v>
      </c>
    </row>
    <row r="57" spans="3:11" x14ac:dyDescent="0.25">
      <c r="C57" s="5">
        <v>90</v>
      </c>
      <c r="D57" s="5">
        <v>0.85</v>
      </c>
      <c r="E57" s="12">
        <f t="shared" si="4"/>
        <v>2008.5841049382718</v>
      </c>
      <c r="F57" s="5">
        <f>B$28*$C57/100+B$27+B$29+Tassement_sans_surchage!F81</f>
        <v>0.18209734978073999</v>
      </c>
      <c r="G57" s="5">
        <f>C$28*$C57/100+C$27+C$29+Tassement_sans_surchage!G81</f>
        <v>0.16911999999999996</v>
      </c>
      <c r="H57" s="5">
        <f>D$28*$C57/100+D$27+D$29+Tassement_sans_surchage!H81</f>
        <v>0.15406857142857139</v>
      </c>
      <c r="I57" s="5">
        <f>E$28*$C57/100+E$27+E$29+Tassement_sans_surchage!I81</f>
        <v>0.14762285714285714</v>
      </c>
      <c r="J57" s="5">
        <f>F$28*$C57/100+F$27+F$29+Tassement_sans_surchage!J81</f>
        <v>0.10235785714285714</v>
      </c>
      <c r="K57" s="5">
        <f>G$28*$C57/100+G$27+G$29+Tassement_sans_surchage!K81</f>
        <v>4.4182857142857135E-2</v>
      </c>
    </row>
    <row r="58" spans="3:11" x14ac:dyDescent="0.25">
      <c r="C58" s="5">
        <v>95</v>
      </c>
      <c r="D58" s="5">
        <v>1.2</v>
      </c>
      <c r="E58" s="12">
        <f t="shared" si="4"/>
        <v>2835.6481481481483</v>
      </c>
      <c r="F58" s="5">
        <f>B$28*$C58/100+B$27+B$29+Tassement_sans_surchage!F82</f>
        <v>0.19284712379342198</v>
      </c>
      <c r="G58" s="5">
        <f>C$28*$C58/100+C$27+C$29+Tassement_sans_surchage!G82</f>
        <v>0.17905999999999997</v>
      </c>
      <c r="H58" s="5">
        <f>D$28*$C58/100+D$27+D$29+Tassement_sans_surchage!H82</f>
        <v>0.16309857142857143</v>
      </c>
      <c r="I58" s="5">
        <f>E$28*$C58/100+E$27+E$29+Tassement_sans_surchage!I82</f>
        <v>0.15625785714285717</v>
      </c>
      <c r="J58" s="5">
        <f>F$28*$C58/100+F$27+F$29+Tassement_sans_surchage!J82</f>
        <v>0.10821285714285714</v>
      </c>
      <c r="K58" s="5">
        <f>G$28*$C58/100+G$27+G$29+Tassement_sans_surchage!K82</f>
        <v>4.6462857142857139E-2</v>
      </c>
    </row>
    <row r="59" spans="3:11" x14ac:dyDescent="0.25">
      <c r="C59" s="5">
        <v>99</v>
      </c>
      <c r="D59" s="5">
        <v>2</v>
      </c>
      <c r="E59" s="26">
        <f t="shared" si="4"/>
        <v>4726.0802469135815</v>
      </c>
      <c r="F59" s="5">
        <f>B$28*$C59/100+B$27+B$29+Tassement_sans_surchage!F82</f>
        <v>0.19300350939489891</v>
      </c>
      <c r="G59" s="5">
        <f>C$28*$C59/100+C$27+C$29+Tassement_sans_surchage!G82</f>
        <v>0.17933199999999996</v>
      </c>
      <c r="H59" s="5">
        <f>D$28*$C59/100+D$27+D$29+Tassement_sans_surchage!H82</f>
        <v>0.16328257142857142</v>
      </c>
      <c r="I59" s="5">
        <f>E$28*$C59/100+E$27+E$29+Tassement_sans_surchage!I82</f>
        <v>0.15644585714285716</v>
      </c>
      <c r="J59" s="5">
        <f>F$28*$C59/100+F$27+F$29+Tassement_sans_surchage!J82</f>
        <v>0.10841685714285713</v>
      </c>
      <c r="K59" s="5">
        <f>G$28*$C59/100+G$27+G$29+Tassement_sans_surchage!K82</f>
        <v>4.6686857142857141E-2</v>
      </c>
    </row>
    <row r="66" spans="3:11" x14ac:dyDescent="0.25">
      <c r="C66" s="1" t="s">
        <v>34</v>
      </c>
      <c r="D66" s="1" t="s">
        <v>35</v>
      </c>
      <c r="E66" s="1" t="s">
        <v>36</v>
      </c>
      <c r="F66" s="1" t="s">
        <v>42</v>
      </c>
      <c r="G66" s="1" t="s">
        <v>43</v>
      </c>
      <c r="H66" s="1" t="s">
        <v>44</v>
      </c>
      <c r="I66" s="1" t="s">
        <v>45</v>
      </c>
      <c r="J66" s="1" t="s">
        <v>46</v>
      </c>
      <c r="K66" s="1" t="s">
        <v>47</v>
      </c>
    </row>
    <row r="67" spans="3:11" x14ac:dyDescent="0.25">
      <c r="C67" s="1">
        <v>0</v>
      </c>
      <c r="D67" s="1">
        <v>0</v>
      </c>
      <c r="E67" s="1">
        <v>0</v>
      </c>
      <c r="F67" s="1">
        <v>7.0714285714285714E-3</v>
      </c>
      <c r="G67" s="1">
        <v>6.9999999999999993E-3</v>
      </c>
      <c r="H67" s="1">
        <v>6.9285714285714298E-3</v>
      </c>
      <c r="I67" s="1">
        <v>6.8928571428571424E-3</v>
      </c>
      <c r="J67" s="1">
        <v>6.767857142857144E-3</v>
      </c>
      <c r="K67" s="1">
        <v>6.6428571428571431E-3</v>
      </c>
    </row>
    <row r="68" spans="3:11" x14ac:dyDescent="0.25">
      <c r="C68" s="1">
        <v>5</v>
      </c>
      <c r="D68" s="1">
        <v>2E-3</v>
      </c>
      <c r="E68" s="1">
        <v>4.7260802469135816</v>
      </c>
      <c r="F68" s="1">
        <v>7.2669105732747503E-3</v>
      </c>
      <c r="G68" s="1">
        <v>7.3399999999999993E-3</v>
      </c>
      <c r="H68" s="1">
        <v>7.1585714285714291E-3</v>
      </c>
      <c r="I68" s="1">
        <v>7.1278571428571424E-3</v>
      </c>
      <c r="J68" s="1">
        <v>7.0228571428571441E-3</v>
      </c>
      <c r="K68" s="1">
        <v>6.9228571428571421E-3</v>
      </c>
    </row>
    <row r="69" spans="3:11" x14ac:dyDescent="0.25">
      <c r="C69" s="1">
        <v>7.1</v>
      </c>
      <c r="D69" s="1">
        <v>4.0000000000000001E-3</v>
      </c>
      <c r="E69" s="1">
        <v>9.4521604938271633</v>
      </c>
      <c r="F69" s="1">
        <v>7.3490130140501453E-3</v>
      </c>
      <c r="G69" s="1">
        <v>7.4827999999999995E-3</v>
      </c>
      <c r="H69" s="1">
        <v>7.2551714285714296E-3</v>
      </c>
      <c r="I69" s="1">
        <v>7.2265571428571426E-3</v>
      </c>
      <c r="J69" s="1">
        <v>7.1299571428571438E-3</v>
      </c>
      <c r="K69" s="1">
        <v>7.0404571428571427E-3</v>
      </c>
    </row>
    <row r="70" spans="3:11" x14ac:dyDescent="0.25">
      <c r="C70" s="1">
        <v>10</v>
      </c>
      <c r="D70" s="1">
        <v>8.0000000000000002E-3</v>
      </c>
      <c r="E70" s="1">
        <v>18.904320987654327</v>
      </c>
      <c r="F70" s="1">
        <v>7.4623925751209292E-3</v>
      </c>
      <c r="G70" s="1">
        <v>7.6799999999999993E-3</v>
      </c>
      <c r="H70" s="1">
        <v>7.3885714285714301E-3</v>
      </c>
      <c r="I70" s="1">
        <v>7.3628571428571423E-3</v>
      </c>
      <c r="J70" s="1">
        <v>7.2778571428571441E-3</v>
      </c>
      <c r="K70" s="1">
        <v>7.2028571428571428E-3</v>
      </c>
    </row>
    <row r="71" spans="3:11" x14ac:dyDescent="0.25">
      <c r="C71" s="1">
        <v>12.4</v>
      </c>
      <c r="D71" s="1">
        <v>1.2E-2</v>
      </c>
      <c r="E71" s="1">
        <v>28.356481481481488</v>
      </c>
      <c r="F71" s="1">
        <v>7.5562239360070947E-3</v>
      </c>
      <c r="G71" s="1">
        <v>7.8431999999999981E-3</v>
      </c>
      <c r="H71" s="1">
        <v>7.4989714285714285E-3</v>
      </c>
      <c r="I71" s="1">
        <v>7.475657142857142E-3</v>
      </c>
      <c r="J71" s="1">
        <v>7.400257142857144E-3</v>
      </c>
      <c r="K71" s="1">
        <v>7.3372571428571426E-3</v>
      </c>
    </row>
    <row r="72" spans="3:11" x14ac:dyDescent="0.25">
      <c r="C72" s="1">
        <v>15</v>
      </c>
      <c r="D72" s="1">
        <v>1.7999999999999999E-2</v>
      </c>
      <c r="E72" s="1">
        <v>42.534722222222229</v>
      </c>
      <c r="F72" s="1">
        <v>7.6578745769671072E-3</v>
      </c>
      <c r="G72" s="1">
        <v>8.0199999999999994E-3</v>
      </c>
      <c r="H72" s="1">
        <v>7.6185714285714294E-3</v>
      </c>
      <c r="I72" s="1">
        <v>7.5978571428571423E-3</v>
      </c>
      <c r="J72" s="1">
        <v>7.5328571428571441E-3</v>
      </c>
      <c r="K72" s="1">
        <v>7.4828571428571418E-3</v>
      </c>
    </row>
    <row r="73" spans="3:11" x14ac:dyDescent="0.25">
      <c r="C73" s="1">
        <v>16</v>
      </c>
      <c r="D73" s="1">
        <v>0.02</v>
      </c>
      <c r="E73" s="1">
        <v>47.260802469135811</v>
      </c>
      <c r="F73" s="1">
        <v>7.696970977336343E-3</v>
      </c>
      <c r="G73" s="1">
        <v>8.087999999999998E-3</v>
      </c>
      <c r="H73" s="1">
        <v>7.6645714285714286E-3</v>
      </c>
      <c r="I73" s="1">
        <v>7.6448571428571425E-3</v>
      </c>
      <c r="J73" s="1">
        <v>7.5838571428571439E-3</v>
      </c>
      <c r="K73" s="1">
        <v>7.5388571428571423E-3</v>
      </c>
    </row>
    <row r="74" spans="3:11" x14ac:dyDescent="0.25">
      <c r="C74" s="1">
        <v>18.899999999999999</v>
      </c>
      <c r="D74" s="1">
        <v>2.8000000000000001E-2</v>
      </c>
      <c r="E74" s="1">
        <v>66.165123456790141</v>
      </c>
      <c r="F74" s="1">
        <v>2.1003215551951761E-2</v>
      </c>
      <c r="G74" s="1">
        <v>2.0285199999999982E-2</v>
      </c>
      <c r="H74" s="1">
        <v>1.8797971428571411E-2</v>
      </c>
      <c r="I74" s="1">
        <v>1.8281157142857139E-2</v>
      </c>
      <c r="J74" s="1">
        <v>1.4731757142857151E-2</v>
      </c>
      <c r="K74" s="1">
        <v>1.0201257142857138E-2</v>
      </c>
    </row>
    <row r="75" spans="3:11" x14ac:dyDescent="0.25">
      <c r="C75" s="1">
        <v>20</v>
      </c>
      <c r="D75" s="1">
        <v>0.03</v>
      </c>
      <c r="E75" s="1">
        <v>70.891203703703709</v>
      </c>
      <c r="F75" s="1">
        <v>2.1046221592357924E-2</v>
      </c>
      <c r="G75" s="1">
        <v>2.0359999999999982E-2</v>
      </c>
      <c r="H75" s="1">
        <v>1.8848571428571409E-2</v>
      </c>
      <c r="I75" s="1">
        <v>1.8332857142857137E-2</v>
      </c>
      <c r="J75" s="1">
        <v>1.4787857142857151E-2</v>
      </c>
      <c r="K75" s="1">
        <v>1.0262857142857138E-2</v>
      </c>
    </row>
    <row r="76" spans="3:11" x14ac:dyDescent="0.25">
      <c r="C76" s="1">
        <v>25</v>
      </c>
      <c r="D76" s="1">
        <v>4.9000000000000002E-2</v>
      </c>
      <c r="E76" s="1">
        <v>115.78896604938274</v>
      </c>
      <c r="F76" s="1">
        <v>2.1241703594204103E-2</v>
      </c>
      <c r="G76" s="1">
        <v>2.0699999999999982E-2</v>
      </c>
      <c r="H76" s="1">
        <v>1.907857142857141E-2</v>
      </c>
      <c r="I76" s="1">
        <v>1.8567857142857136E-2</v>
      </c>
      <c r="J76" s="1">
        <v>1.5042857142857149E-2</v>
      </c>
      <c r="K76" s="1">
        <v>1.0542857142857137E-2</v>
      </c>
    </row>
    <row r="77" spans="3:11" x14ac:dyDescent="0.25">
      <c r="C77" s="1">
        <v>30</v>
      </c>
      <c r="D77" s="1">
        <v>7.0000000000000007E-2</v>
      </c>
      <c r="E77" s="1">
        <v>165.41280864197535</v>
      </c>
      <c r="F77" s="1">
        <v>3.4630050609594912E-2</v>
      </c>
      <c r="G77" s="1">
        <v>3.3039999999999993E-2</v>
      </c>
      <c r="H77" s="1">
        <v>3.0308571428571421E-2</v>
      </c>
      <c r="I77" s="1">
        <v>2.9302857142857144E-2</v>
      </c>
      <c r="J77" s="1">
        <v>2.2297857142857154E-2</v>
      </c>
      <c r="K77" s="1">
        <v>1.3322857142857147E-2</v>
      </c>
    </row>
    <row r="78" spans="3:11" x14ac:dyDescent="0.25">
      <c r="C78" s="1">
        <v>35</v>
      </c>
      <c r="D78" s="1">
        <v>9.6000000000000002E-2</v>
      </c>
      <c r="E78" s="1">
        <v>226.8518518518519</v>
      </c>
      <c r="F78" s="1">
        <v>4.8018397624985734E-2</v>
      </c>
      <c r="G78" s="1">
        <v>4.5379999999999976E-2</v>
      </c>
      <c r="H78" s="1">
        <v>4.1538571428571432E-2</v>
      </c>
      <c r="I78" s="1">
        <v>4.0037857142857153E-2</v>
      </c>
      <c r="J78" s="1">
        <v>2.9552857142857162E-2</v>
      </c>
      <c r="K78" s="1">
        <v>1.6102857142857141E-2</v>
      </c>
    </row>
    <row r="79" spans="3:11" x14ac:dyDescent="0.25">
      <c r="C79" s="1">
        <v>40</v>
      </c>
      <c r="D79" s="1">
        <v>0.13</v>
      </c>
      <c r="E79" s="1">
        <v>307.19521604938279</v>
      </c>
      <c r="F79" s="1">
        <v>6.1406744640376543E-2</v>
      </c>
      <c r="G79" s="1">
        <v>5.7719999999999987E-2</v>
      </c>
      <c r="H79" s="1">
        <v>5.2768571428571415E-2</v>
      </c>
      <c r="I79" s="1">
        <v>5.0772857142857133E-2</v>
      </c>
      <c r="J79" s="1">
        <v>3.6807857142857142E-2</v>
      </c>
      <c r="K79" s="1">
        <v>1.8882857142857146E-2</v>
      </c>
    </row>
    <row r="80" spans="3:11" x14ac:dyDescent="0.25">
      <c r="C80" s="1">
        <v>45</v>
      </c>
      <c r="D80" s="1">
        <v>0.159</v>
      </c>
      <c r="E80" s="1">
        <v>375.72337962962973</v>
      </c>
      <c r="F80" s="1">
        <v>7.4795091655767365E-2</v>
      </c>
      <c r="G80" s="1">
        <v>7.0059999999999997E-2</v>
      </c>
      <c r="H80" s="1">
        <v>6.3998571428571419E-2</v>
      </c>
      <c r="I80" s="1">
        <v>6.1507857142857149E-2</v>
      </c>
      <c r="J80" s="1">
        <v>4.4062857142857147E-2</v>
      </c>
      <c r="K80" s="1">
        <v>2.1662857142857147E-2</v>
      </c>
    </row>
    <row r="81" spans="3:11" x14ac:dyDescent="0.25">
      <c r="C81" s="1">
        <v>50</v>
      </c>
      <c r="D81" s="1">
        <v>0.2</v>
      </c>
      <c r="E81" s="1">
        <v>472.60802469135814</v>
      </c>
      <c r="F81" s="1">
        <v>8.8183438671158174E-2</v>
      </c>
      <c r="G81" s="1">
        <v>8.2399999999999973E-2</v>
      </c>
      <c r="H81" s="1">
        <v>7.5228571428571436E-2</v>
      </c>
      <c r="I81" s="1">
        <v>7.2242857142857123E-2</v>
      </c>
      <c r="J81" s="1">
        <v>5.1317857142857151E-2</v>
      </c>
      <c r="K81" s="1">
        <v>2.4442857142857141E-2</v>
      </c>
    </row>
    <row r="82" spans="3:11" x14ac:dyDescent="0.25">
      <c r="C82" s="1">
        <v>55</v>
      </c>
      <c r="D82" s="1">
        <v>0.23899999999999999</v>
      </c>
      <c r="E82" s="1">
        <v>564.76658950617298</v>
      </c>
      <c r="F82" s="1">
        <v>0.10157178568654898</v>
      </c>
      <c r="G82" s="1">
        <v>9.4739999999999991E-2</v>
      </c>
      <c r="H82" s="1">
        <v>8.645857142857144E-2</v>
      </c>
      <c r="I82" s="1">
        <v>8.2977857142857131E-2</v>
      </c>
      <c r="J82" s="1">
        <v>5.8572857142857163E-2</v>
      </c>
      <c r="K82" s="1">
        <v>2.7222857142857146E-2</v>
      </c>
    </row>
    <row r="83" spans="3:11" x14ac:dyDescent="0.25">
      <c r="C83" s="1">
        <v>60</v>
      </c>
      <c r="D83" s="1">
        <v>0.28599999999999998</v>
      </c>
      <c r="E83" s="1">
        <v>675.82947530864203</v>
      </c>
      <c r="F83" s="1">
        <v>0.1149601327019398</v>
      </c>
      <c r="G83" s="1">
        <v>0.10707999999999997</v>
      </c>
      <c r="H83" s="1">
        <v>9.768857142857143E-2</v>
      </c>
      <c r="I83" s="1">
        <v>9.3712857142857153E-2</v>
      </c>
      <c r="J83" s="1">
        <v>6.5827857142857132E-2</v>
      </c>
      <c r="K83" s="1">
        <v>3.0002857142857137E-2</v>
      </c>
    </row>
    <row r="84" spans="3:11" x14ac:dyDescent="0.25">
      <c r="C84" s="1">
        <v>65</v>
      </c>
      <c r="D84" s="1">
        <v>0.34200000000000003</v>
      </c>
      <c r="E84" s="1">
        <v>808.1597222222224</v>
      </c>
      <c r="F84" s="1">
        <v>0.11515561470378598</v>
      </c>
      <c r="G84" s="1">
        <v>0.10741999999999997</v>
      </c>
      <c r="H84" s="1">
        <v>9.7918571428571424E-2</v>
      </c>
      <c r="I84" s="1">
        <v>9.3947857142857152E-2</v>
      </c>
      <c r="J84" s="1">
        <v>6.6082857142857138E-2</v>
      </c>
      <c r="K84" s="1">
        <v>3.0282857142857139E-2</v>
      </c>
    </row>
    <row r="85" spans="3:11" x14ac:dyDescent="0.25">
      <c r="C85" s="1">
        <v>70</v>
      </c>
      <c r="D85" s="1">
        <v>0.40300000000000002</v>
      </c>
      <c r="E85" s="1">
        <v>952.3051697530866</v>
      </c>
      <c r="F85" s="1">
        <v>0.12854396171917679</v>
      </c>
      <c r="G85" s="1">
        <v>0.11975999999999998</v>
      </c>
      <c r="H85" s="1">
        <v>0.10914857142857143</v>
      </c>
      <c r="I85" s="1">
        <v>0.10468285714285716</v>
      </c>
      <c r="J85" s="1">
        <v>7.3337857142857149E-2</v>
      </c>
      <c r="K85" s="1">
        <v>3.3062857142857151E-2</v>
      </c>
    </row>
    <row r="86" spans="3:11" x14ac:dyDescent="0.25">
      <c r="C86" s="1">
        <v>75</v>
      </c>
      <c r="D86" s="1">
        <v>0.47699999999999998</v>
      </c>
      <c r="E86" s="1">
        <v>1127.1701388888891</v>
      </c>
      <c r="F86" s="1">
        <v>0.14193230873456758</v>
      </c>
      <c r="G86" s="1">
        <v>0.1321</v>
      </c>
      <c r="H86" s="1">
        <v>0.12037857142857145</v>
      </c>
      <c r="I86" s="1">
        <v>0.11541785714285717</v>
      </c>
      <c r="J86" s="1">
        <v>8.0592857142857147E-2</v>
      </c>
      <c r="K86" s="1">
        <v>3.5842857142857149E-2</v>
      </c>
    </row>
    <row r="87" spans="3:11" x14ac:dyDescent="0.25">
      <c r="C87" s="1">
        <v>80</v>
      </c>
      <c r="D87" s="1">
        <v>0.56999999999999995</v>
      </c>
      <c r="E87" s="1">
        <v>1346.9328703703704</v>
      </c>
      <c r="F87" s="1">
        <v>0.15532065574995843</v>
      </c>
      <c r="G87" s="1">
        <v>0.14443999999999996</v>
      </c>
      <c r="H87" s="1">
        <v>0.13160857142857144</v>
      </c>
      <c r="I87" s="1">
        <v>0.12615285714285712</v>
      </c>
      <c r="J87" s="1">
        <v>8.7847857142857158E-2</v>
      </c>
      <c r="K87" s="1">
        <v>3.8622857142857146E-2</v>
      </c>
    </row>
    <row r="88" spans="3:11" x14ac:dyDescent="0.25">
      <c r="C88" s="1">
        <v>85</v>
      </c>
      <c r="D88" s="1">
        <v>0.68400000000000005</v>
      </c>
      <c r="E88" s="1">
        <v>1616.3194444444448</v>
      </c>
      <c r="F88" s="1">
        <v>0.16870900276534928</v>
      </c>
      <c r="G88" s="1">
        <v>0.15677999999999995</v>
      </c>
      <c r="H88" s="1">
        <v>0.14283857142857143</v>
      </c>
      <c r="I88" s="1">
        <v>0.13688785714285714</v>
      </c>
      <c r="J88" s="1">
        <v>9.5102857142857156E-2</v>
      </c>
      <c r="K88" s="1">
        <v>4.1402857142857144E-2</v>
      </c>
    </row>
    <row r="89" spans="3:11" x14ac:dyDescent="0.25">
      <c r="C89" s="1">
        <v>90</v>
      </c>
      <c r="D89" s="1">
        <v>0.85</v>
      </c>
      <c r="E89" s="1">
        <v>2008.5841049382718</v>
      </c>
      <c r="F89" s="1">
        <v>0.18209734978073999</v>
      </c>
      <c r="G89" s="1">
        <v>0.16911999999999996</v>
      </c>
      <c r="H89" s="1">
        <v>0.15406857142857139</v>
      </c>
      <c r="I89" s="1">
        <v>0.14762285714285714</v>
      </c>
      <c r="J89" s="1">
        <v>0.10235785714285714</v>
      </c>
      <c r="K89" s="1">
        <v>4.4182857142857135E-2</v>
      </c>
    </row>
    <row r="90" spans="3:11" x14ac:dyDescent="0.25">
      <c r="C90" s="1">
        <v>95</v>
      </c>
      <c r="D90" s="1">
        <v>1.2</v>
      </c>
      <c r="E90" s="1">
        <v>2835.6481481481483</v>
      </c>
      <c r="F90" s="1">
        <v>0.19284712379342198</v>
      </c>
      <c r="G90" s="1">
        <v>0.17905999999999997</v>
      </c>
      <c r="H90" s="1">
        <v>0.16309857142857143</v>
      </c>
      <c r="I90" s="1">
        <v>0.15625785714285717</v>
      </c>
      <c r="J90" s="1">
        <v>0.10821285714285714</v>
      </c>
      <c r="K90" s="1">
        <v>4.6462857142857139E-2</v>
      </c>
    </row>
    <row r="91" spans="3:11" x14ac:dyDescent="0.25">
      <c r="C91" s="1">
        <v>99</v>
      </c>
      <c r="D91" s="1">
        <v>2</v>
      </c>
      <c r="E91" s="1">
        <v>4726.0802469135815</v>
      </c>
      <c r="F91" s="1">
        <v>0.19300350939489891</v>
      </c>
      <c r="G91" s="1">
        <v>0.17933199999999996</v>
      </c>
      <c r="H91" s="1">
        <v>0.16328257142857142</v>
      </c>
      <c r="I91" s="1">
        <v>0.15644585714285716</v>
      </c>
      <c r="J91" s="1">
        <v>0.10841685714285713</v>
      </c>
      <c r="K91" s="1">
        <v>4.6686857142857141E-2</v>
      </c>
    </row>
  </sheetData>
  <mergeCells count="3">
    <mergeCell ref="A3:C3"/>
    <mergeCell ref="A17:H17"/>
    <mergeCell ref="I17:M17"/>
  </mergeCells>
  <pageMargins left="0.75" right="0.75" top="1" bottom="1" header="0.5" footer="0.5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opLeftCell="A28" workbookViewId="0">
      <selection activeCell="B48" sqref="B48"/>
    </sheetView>
  </sheetViews>
  <sheetFormatPr baseColWidth="10" defaultColWidth="10.875" defaultRowHeight="15.75" x14ac:dyDescent="0.25"/>
  <cols>
    <col min="1" max="1" width="20.125" style="48" customWidth="1"/>
    <col min="2" max="2" width="26.875" style="48" customWidth="1"/>
    <col min="3" max="3" width="17.375" style="48" customWidth="1"/>
    <col min="4" max="5" width="10.875" style="48"/>
    <col min="6" max="6" width="11.375" style="48" bestFit="1" customWidth="1"/>
    <col min="7" max="16384" width="10.875" style="48"/>
  </cols>
  <sheetData>
    <row r="1" spans="1:5" ht="33" customHeight="1" x14ac:dyDescent="0.25">
      <c r="A1" s="78" t="s">
        <v>51</v>
      </c>
      <c r="B1" s="78"/>
      <c r="C1" s="78"/>
      <c r="D1" s="78"/>
      <c r="E1" s="78"/>
    </row>
    <row r="2" spans="1:5" ht="33" customHeight="1" x14ac:dyDescent="0.25">
      <c r="A2" s="49"/>
      <c r="B2" s="49"/>
      <c r="C2" s="49"/>
      <c r="D2" s="49"/>
      <c r="E2" s="49"/>
    </row>
    <row r="3" spans="1:5" x14ac:dyDescent="0.25">
      <c r="A3" s="50"/>
      <c r="B3" s="50" t="s">
        <v>65</v>
      </c>
      <c r="C3" s="50" t="s">
        <v>54</v>
      </c>
    </row>
    <row r="4" spans="1:5" x14ac:dyDescent="0.25">
      <c r="A4" s="50" t="s">
        <v>52</v>
      </c>
      <c r="B4" s="50">
        <f>42.64+5.71</f>
        <v>48.35</v>
      </c>
      <c r="C4" s="50">
        <v>5</v>
      </c>
    </row>
    <row r="5" spans="1:5" x14ac:dyDescent="0.25">
      <c r="A5" s="50" t="s">
        <v>53</v>
      </c>
      <c r="B5" s="50">
        <v>30</v>
      </c>
      <c r="C5" s="50">
        <v>3</v>
      </c>
    </row>
    <row r="6" spans="1:5" ht="31.5" x14ac:dyDescent="0.25">
      <c r="A6" s="51" t="s">
        <v>71</v>
      </c>
      <c r="B6" s="51">
        <f>15*B4*B5</f>
        <v>21757.5</v>
      </c>
      <c r="C6" s="50"/>
    </row>
    <row r="7" spans="1:5" ht="16.5" thickBot="1" x14ac:dyDescent="0.3">
      <c r="D7" s="52"/>
    </row>
    <row r="8" spans="1:5" x14ac:dyDescent="0.25">
      <c r="A8" s="79" t="s">
        <v>55</v>
      </c>
      <c r="B8" s="80"/>
      <c r="C8" s="80"/>
      <c r="D8" s="80"/>
      <c r="E8" s="81"/>
    </row>
    <row r="9" spans="1:5" ht="16.5" thickBot="1" x14ac:dyDescent="0.3">
      <c r="A9" s="82" t="s">
        <v>57</v>
      </c>
      <c r="B9" s="83"/>
      <c r="C9" s="83"/>
      <c r="D9" s="83"/>
      <c r="E9" s="84"/>
    </row>
    <row r="10" spans="1:5" x14ac:dyDescent="0.25">
      <c r="A10" s="53"/>
      <c r="B10" s="54"/>
      <c r="C10" s="54"/>
      <c r="D10" s="55"/>
      <c r="E10" s="56"/>
    </row>
    <row r="11" spans="1:5" x14ac:dyDescent="0.25">
      <c r="A11" s="57"/>
      <c r="B11" s="58" t="s">
        <v>58</v>
      </c>
      <c r="C11" s="58" t="s">
        <v>59</v>
      </c>
      <c r="D11" s="55"/>
      <c r="E11" s="56"/>
    </row>
    <row r="12" spans="1:5" x14ac:dyDescent="0.25">
      <c r="A12" s="59" t="s">
        <v>56</v>
      </c>
      <c r="B12" s="50">
        <v>0.5</v>
      </c>
      <c r="C12" s="50">
        <f>PI()*B12^2</f>
        <v>0.78539816339744828</v>
      </c>
      <c r="D12" s="55"/>
      <c r="E12" s="56"/>
    </row>
    <row r="13" spans="1:5" x14ac:dyDescent="0.25">
      <c r="A13" s="60"/>
      <c r="B13" s="55"/>
      <c r="C13" s="55"/>
      <c r="D13" s="55"/>
      <c r="E13" s="56"/>
    </row>
    <row r="14" spans="1:5" x14ac:dyDescent="0.25">
      <c r="A14" s="57"/>
      <c r="B14" s="50" t="s">
        <v>61</v>
      </c>
      <c r="C14" s="50" t="s">
        <v>62</v>
      </c>
      <c r="D14" s="50" t="s">
        <v>63</v>
      </c>
      <c r="E14" s="56"/>
    </row>
    <row r="15" spans="1:5" x14ac:dyDescent="0.25">
      <c r="A15" s="59" t="s">
        <v>60</v>
      </c>
      <c r="B15" s="50">
        <v>2.2999999999999998</v>
      </c>
      <c r="C15" s="50">
        <v>1500</v>
      </c>
      <c r="D15" s="50">
        <f>B15*C15</f>
        <v>3449.9999999999995</v>
      </c>
      <c r="E15" s="56"/>
    </row>
    <row r="16" spans="1:5" x14ac:dyDescent="0.25">
      <c r="A16" s="60"/>
      <c r="B16" s="55"/>
      <c r="C16" s="55"/>
      <c r="D16" s="55"/>
      <c r="E16" s="56"/>
    </row>
    <row r="17" spans="1:7" x14ac:dyDescent="0.25">
      <c r="A17" s="60"/>
      <c r="B17" s="55"/>
      <c r="C17" s="55"/>
      <c r="D17" s="55"/>
      <c r="E17" s="56"/>
    </row>
    <row r="18" spans="1:7" x14ac:dyDescent="0.25">
      <c r="A18" s="59" t="s">
        <v>64</v>
      </c>
      <c r="B18" s="50">
        <f>D15*C12</f>
        <v>2709.6236637211964</v>
      </c>
      <c r="C18" s="55"/>
      <c r="D18" s="55"/>
      <c r="E18" s="56"/>
    </row>
    <row r="19" spans="1:7" x14ac:dyDescent="0.25">
      <c r="A19" s="59" t="s">
        <v>72</v>
      </c>
      <c r="B19" s="61">
        <f>C5*C4*B18</f>
        <v>40644.354955817944</v>
      </c>
      <c r="C19" s="55"/>
      <c r="D19" s="55"/>
      <c r="E19" s="56"/>
    </row>
    <row r="20" spans="1:7" x14ac:dyDescent="0.25">
      <c r="A20" s="60"/>
      <c r="B20" s="55"/>
      <c r="C20" s="55"/>
      <c r="D20" s="55"/>
      <c r="E20" s="56"/>
    </row>
    <row r="21" spans="1:7" ht="16.5" thickBot="1" x14ac:dyDescent="0.3">
      <c r="A21" s="62"/>
      <c r="B21" s="63"/>
      <c r="C21" s="63"/>
      <c r="D21" s="63"/>
      <c r="E21" s="64"/>
    </row>
    <row r="23" spans="1:7" ht="16.5" thickBot="1" x14ac:dyDescent="0.3"/>
    <row r="24" spans="1:7" ht="15.75" customHeight="1" x14ac:dyDescent="0.25">
      <c r="A24" s="79" t="s">
        <v>66</v>
      </c>
      <c r="B24" s="80"/>
      <c r="C24" s="80"/>
      <c r="D24" s="80"/>
      <c r="E24" s="80"/>
      <c r="F24" s="80"/>
      <c r="G24" s="81"/>
    </row>
    <row r="25" spans="1:7" ht="16.5" thickBot="1" x14ac:dyDescent="0.3">
      <c r="A25" s="82" t="s">
        <v>57</v>
      </c>
      <c r="B25" s="83"/>
      <c r="C25" s="83"/>
      <c r="D25" s="83"/>
      <c r="E25" s="83"/>
      <c r="F25" s="83"/>
      <c r="G25" s="84"/>
    </row>
    <row r="26" spans="1:7" ht="31.5" x14ac:dyDescent="0.25">
      <c r="A26" s="87" t="s">
        <v>67</v>
      </c>
      <c r="B26" s="88"/>
      <c r="C26" s="88"/>
      <c r="D26" s="86"/>
      <c r="E26" s="86"/>
      <c r="F26" s="86"/>
      <c r="G26" s="89"/>
    </row>
    <row r="27" spans="1:7" x14ac:dyDescent="0.25">
      <c r="A27" s="90"/>
      <c r="B27" s="66"/>
      <c r="C27" s="66"/>
      <c r="D27" s="65"/>
      <c r="E27" s="55"/>
      <c r="F27" s="55"/>
      <c r="G27" s="56"/>
    </row>
    <row r="28" spans="1:7" x14ac:dyDescent="0.25">
      <c r="A28" s="91"/>
      <c r="B28" s="70" t="s">
        <v>69</v>
      </c>
      <c r="C28" s="71" t="s">
        <v>68</v>
      </c>
      <c r="D28" s="71" t="s">
        <v>70</v>
      </c>
      <c r="E28" s="50" t="s">
        <v>73</v>
      </c>
      <c r="F28" s="50" t="s">
        <v>77</v>
      </c>
      <c r="G28" s="56"/>
    </row>
    <row r="29" spans="1:7" x14ac:dyDescent="0.25">
      <c r="A29" s="69" t="s">
        <v>14</v>
      </c>
      <c r="B29" s="67">
        <v>1.9</v>
      </c>
      <c r="C29" s="71">
        <f>2*PI()*B$12</f>
        <v>3.1415926535897931</v>
      </c>
      <c r="D29" s="71">
        <v>30</v>
      </c>
      <c r="E29" s="50">
        <v>1.4</v>
      </c>
      <c r="F29" s="50">
        <f>E29*D29*C29*B29</f>
        <v>250.69909375646549</v>
      </c>
      <c r="G29" s="56"/>
    </row>
    <row r="30" spans="1:7" x14ac:dyDescent="0.25">
      <c r="A30" s="69" t="s">
        <v>15</v>
      </c>
      <c r="B30" s="67">
        <v>3.6</v>
      </c>
      <c r="C30" s="71">
        <f t="shared" ref="C30:C32" si="0">2*PI()*B$12</f>
        <v>3.1415926535897931</v>
      </c>
      <c r="D30" s="71">
        <v>15</v>
      </c>
      <c r="E30" s="50">
        <v>1.1000000000000001</v>
      </c>
      <c r="F30" s="50">
        <f>E30*D30*C30*B30</f>
        <v>186.61060362323371</v>
      </c>
      <c r="G30" s="56"/>
    </row>
    <row r="31" spans="1:7" x14ac:dyDescent="0.25">
      <c r="A31" s="85" t="s">
        <v>16</v>
      </c>
      <c r="B31" s="67">
        <v>0.6</v>
      </c>
      <c r="C31" s="71">
        <f t="shared" si="0"/>
        <v>3.1415926535897931</v>
      </c>
      <c r="D31" s="71">
        <v>35</v>
      </c>
      <c r="E31" s="50">
        <v>1.4</v>
      </c>
      <c r="F31" s="50">
        <f>E31*D31*C31*B31</f>
        <v>92.362824015539914</v>
      </c>
      <c r="G31" s="56"/>
    </row>
    <row r="32" spans="1:7" x14ac:dyDescent="0.25">
      <c r="A32" s="93" t="s">
        <v>76</v>
      </c>
      <c r="B32" s="6">
        <f>B42</f>
        <v>7.8437336556595341</v>
      </c>
      <c r="C32" s="71">
        <f t="shared" si="0"/>
        <v>3.1415926535897931</v>
      </c>
      <c r="D32" s="71">
        <v>95</v>
      </c>
      <c r="E32" s="50">
        <v>1</v>
      </c>
      <c r="F32" s="50">
        <f>E32*D32*C32*B32</f>
        <v>2340.9725227868253</v>
      </c>
      <c r="G32" s="56"/>
    </row>
    <row r="33" spans="1:7" x14ac:dyDescent="0.25">
      <c r="A33" s="92"/>
      <c r="B33" s="65"/>
      <c r="C33" s="65"/>
      <c r="D33" s="65"/>
      <c r="E33" s="55"/>
      <c r="F33" s="55">
        <f>SUM(F29:F32)</f>
        <v>2870.6450441820643</v>
      </c>
      <c r="G33" s="56"/>
    </row>
    <row r="34" spans="1:7" x14ac:dyDescent="0.25">
      <c r="A34" s="92"/>
      <c r="B34" s="65"/>
      <c r="C34" s="65"/>
      <c r="D34" s="65"/>
      <c r="E34" s="55"/>
      <c r="F34" s="55"/>
      <c r="G34" s="56"/>
    </row>
    <row r="35" spans="1:7" x14ac:dyDescent="0.25">
      <c r="A35" s="60"/>
      <c r="B35" s="55"/>
      <c r="C35" s="55"/>
      <c r="D35" s="55"/>
      <c r="E35" s="55"/>
      <c r="F35" s="55"/>
      <c r="G35" s="56"/>
    </row>
    <row r="36" spans="1:7" ht="16.5" thickBot="1" x14ac:dyDescent="0.3">
      <c r="A36" s="62"/>
      <c r="B36" s="63"/>
      <c r="C36" s="63"/>
      <c r="D36" s="63"/>
      <c r="E36" s="63"/>
      <c r="F36" s="63"/>
      <c r="G36" s="64"/>
    </row>
    <row r="40" spans="1:7" x14ac:dyDescent="0.25">
      <c r="A40" s="48" t="s">
        <v>74</v>
      </c>
      <c r="B40" s="48">
        <v>2</v>
      </c>
    </row>
    <row r="42" spans="1:7" x14ac:dyDescent="0.25">
      <c r="A42" s="48" t="s">
        <v>3</v>
      </c>
      <c r="B42" s="94">
        <v>7.8437336556595341</v>
      </c>
    </row>
    <row r="43" spans="1:7" x14ac:dyDescent="0.25">
      <c r="A43" s="48" t="s">
        <v>75</v>
      </c>
      <c r="B43" s="48">
        <f>B19+F29+F30+F31+C32*D32*E32*B42-B40*B6</f>
        <v>0</v>
      </c>
    </row>
  </sheetData>
  <mergeCells count="5">
    <mergeCell ref="A1:E1"/>
    <mergeCell ref="A8:E8"/>
    <mergeCell ref="A9:E9"/>
    <mergeCell ref="A24:G24"/>
    <mergeCell ref="A25:G2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opLeftCell="A22" workbookViewId="0">
      <selection activeCell="C12" sqref="C12"/>
    </sheetView>
  </sheetViews>
  <sheetFormatPr baseColWidth="10" defaultColWidth="10.875" defaultRowHeight="15.75" x14ac:dyDescent="0.25"/>
  <cols>
    <col min="1" max="1" width="20.125" style="48" customWidth="1"/>
    <col min="2" max="2" width="26.875" style="48" customWidth="1"/>
    <col min="3" max="3" width="17.375" style="48" customWidth="1"/>
    <col min="4" max="5" width="10.875" style="48"/>
    <col min="6" max="6" width="11.375" style="48" bestFit="1" customWidth="1"/>
    <col min="7" max="16384" width="10.875" style="48"/>
  </cols>
  <sheetData>
    <row r="1" spans="1:5" ht="33" customHeight="1" x14ac:dyDescent="0.25">
      <c r="A1" s="78" t="s">
        <v>78</v>
      </c>
      <c r="B1" s="78"/>
      <c r="C1" s="78"/>
      <c r="D1" s="78"/>
      <c r="E1" s="78"/>
    </row>
    <row r="2" spans="1:5" ht="33" customHeight="1" x14ac:dyDescent="0.25">
      <c r="A2" s="68"/>
      <c r="B2" s="68"/>
      <c r="C2" s="68"/>
      <c r="D2" s="68"/>
      <c r="E2" s="68"/>
    </row>
    <row r="3" spans="1:5" x14ac:dyDescent="0.25">
      <c r="A3" s="50"/>
      <c r="B3" s="50" t="s">
        <v>65</v>
      </c>
      <c r="C3" s="50" t="s">
        <v>54</v>
      </c>
    </row>
    <row r="4" spans="1:5" x14ac:dyDescent="0.25">
      <c r="A4" s="50" t="s">
        <v>52</v>
      </c>
      <c r="B4" s="50">
        <f>42.64+5.71</f>
        <v>48.35</v>
      </c>
      <c r="C4" s="50">
        <f>INT(B4/1.8)</f>
        <v>26</v>
      </c>
    </row>
    <row r="5" spans="1:5" x14ac:dyDescent="0.25">
      <c r="A5" s="50" t="s">
        <v>53</v>
      </c>
      <c r="B5" s="50">
        <v>30</v>
      </c>
      <c r="C5" s="50">
        <f>INT(B5/1.8)</f>
        <v>16</v>
      </c>
    </row>
    <row r="6" spans="1:5" ht="31.5" x14ac:dyDescent="0.25">
      <c r="A6" s="51" t="s">
        <v>71</v>
      </c>
      <c r="B6" s="51">
        <f>15*B4*B5+5.7*20</f>
        <v>21871.5</v>
      </c>
      <c r="C6" s="50"/>
    </row>
    <row r="7" spans="1:5" ht="16.5" thickBot="1" x14ac:dyDescent="0.3">
      <c r="D7" s="52"/>
    </row>
    <row r="8" spans="1:5" x14ac:dyDescent="0.25">
      <c r="A8" s="79" t="s">
        <v>55</v>
      </c>
      <c r="B8" s="80"/>
      <c r="C8" s="80"/>
      <c r="D8" s="80"/>
      <c r="E8" s="81"/>
    </row>
    <row r="9" spans="1:5" ht="16.5" thickBot="1" x14ac:dyDescent="0.3">
      <c r="A9" s="82" t="s">
        <v>57</v>
      </c>
      <c r="B9" s="83"/>
      <c r="C9" s="83"/>
      <c r="D9" s="83"/>
      <c r="E9" s="84"/>
    </row>
    <row r="10" spans="1:5" x14ac:dyDescent="0.25">
      <c r="A10" s="53"/>
      <c r="B10" s="54"/>
      <c r="C10" s="54"/>
      <c r="D10" s="55"/>
      <c r="E10" s="56"/>
    </row>
    <row r="11" spans="1:5" x14ac:dyDescent="0.25">
      <c r="A11" s="57"/>
      <c r="B11" s="58" t="s">
        <v>58</v>
      </c>
      <c r="C11" s="58" t="s">
        <v>59</v>
      </c>
      <c r="D11" s="55"/>
      <c r="E11" s="56"/>
    </row>
    <row r="12" spans="1:5" x14ac:dyDescent="0.25">
      <c r="A12" s="59" t="s">
        <v>56</v>
      </c>
      <c r="B12" s="50">
        <v>0.4</v>
      </c>
      <c r="C12" s="50">
        <f>PI()*B12^2</f>
        <v>0.50265482457436694</v>
      </c>
      <c r="D12" s="55"/>
      <c r="E12" s="56"/>
    </row>
    <row r="13" spans="1:5" x14ac:dyDescent="0.25">
      <c r="A13" s="60"/>
      <c r="B13" s="55"/>
      <c r="C13" s="55"/>
      <c r="D13" s="55"/>
      <c r="E13" s="56"/>
    </row>
    <row r="14" spans="1:5" x14ac:dyDescent="0.25">
      <c r="A14" s="57"/>
      <c r="B14" s="50" t="s">
        <v>79</v>
      </c>
      <c r="C14" s="50" t="s">
        <v>62</v>
      </c>
      <c r="D14" s="50" t="s">
        <v>63</v>
      </c>
      <c r="E14" s="56"/>
    </row>
    <row r="15" spans="1:5" x14ac:dyDescent="0.25">
      <c r="A15" s="59" t="s">
        <v>60</v>
      </c>
      <c r="B15" s="50">
        <v>1.35</v>
      </c>
      <c r="C15" s="50">
        <v>150</v>
      </c>
      <c r="D15" s="50">
        <f>B15*C15</f>
        <v>202.5</v>
      </c>
      <c r="E15" s="56"/>
    </row>
    <row r="16" spans="1:5" x14ac:dyDescent="0.25">
      <c r="A16" s="60"/>
      <c r="B16" s="55"/>
      <c r="C16" s="55"/>
      <c r="D16" s="55"/>
      <c r="E16" s="56"/>
    </row>
    <row r="17" spans="1:7" x14ac:dyDescent="0.25">
      <c r="A17" s="60"/>
      <c r="B17" s="55"/>
      <c r="C17" s="55"/>
      <c r="D17" s="55"/>
      <c r="E17" s="56"/>
    </row>
    <row r="18" spans="1:7" x14ac:dyDescent="0.25">
      <c r="A18" s="59" t="s">
        <v>64</v>
      </c>
      <c r="B18" s="50">
        <f>D15*C12</f>
        <v>101.7876019763093</v>
      </c>
      <c r="C18" s="55"/>
      <c r="D18" s="55"/>
      <c r="E18" s="56"/>
    </row>
    <row r="19" spans="1:7" x14ac:dyDescent="0.25">
      <c r="A19" s="59" t="s">
        <v>72</v>
      </c>
      <c r="B19" s="61">
        <f>C5*C4*B18</f>
        <v>42343.642422144672</v>
      </c>
      <c r="C19" s="55"/>
      <c r="D19" s="55"/>
      <c r="E19" s="56"/>
    </row>
    <row r="20" spans="1:7" x14ac:dyDescent="0.25">
      <c r="A20" s="60"/>
      <c r="B20" s="55"/>
      <c r="C20" s="55"/>
      <c r="D20" s="55"/>
      <c r="E20" s="56"/>
    </row>
    <row r="21" spans="1:7" ht="16.5" thickBot="1" x14ac:dyDescent="0.3">
      <c r="A21" s="62"/>
      <c r="B21" s="63"/>
      <c r="C21" s="63"/>
      <c r="D21" s="63"/>
      <c r="E21" s="64"/>
    </row>
    <row r="23" spans="1:7" ht="16.5" thickBot="1" x14ac:dyDescent="0.3"/>
    <row r="24" spans="1:7" ht="15.75" customHeight="1" x14ac:dyDescent="0.25">
      <c r="A24" s="79" t="s">
        <v>66</v>
      </c>
      <c r="B24" s="80"/>
      <c r="C24" s="80"/>
      <c r="D24" s="80"/>
      <c r="E24" s="80"/>
      <c r="F24" s="80"/>
      <c r="G24" s="81"/>
    </row>
    <row r="25" spans="1:7" ht="16.5" thickBot="1" x14ac:dyDescent="0.3">
      <c r="A25" s="82" t="s">
        <v>57</v>
      </c>
      <c r="B25" s="83"/>
      <c r="C25" s="83"/>
      <c r="D25" s="83"/>
      <c r="E25" s="83"/>
      <c r="F25" s="83"/>
      <c r="G25" s="84"/>
    </row>
    <row r="26" spans="1:7" ht="31.5" x14ac:dyDescent="0.25">
      <c r="A26" s="87" t="s">
        <v>67</v>
      </c>
      <c r="B26" s="88"/>
      <c r="C26" s="88"/>
      <c r="D26" s="86"/>
      <c r="E26" s="86"/>
      <c r="F26" s="86"/>
      <c r="G26" s="89"/>
    </row>
    <row r="27" spans="1:7" x14ac:dyDescent="0.25">
      <c r="A27" s="90"/>
      <c r="B27" s="66"/>
      <c r="C27" s="66"/>
      <c r="D27" s="65"/>
      <c r="E27" s="55"/>
      <c r="F27" s="55"/>
      <c r="G27" s="56"/>
    </row>
    <row r="28" spans="1:7" x14ac:dyDescent="0.25">
      <c r="A28" s="91"/>
      <c r="B28" s="70" t="s">
        <v>69</v>
      </c>
      <c r="C28" s="71" t="s">
        <v>68</v>
      </c>
      <c r="D28" s="71" t="s">
        <v>70</v>
      </c>
      <c r="E28" s="50" t="s">
        <v>73</v>
      </c>
      <c r="F28" s="50" t="s">
        <v>77</v>
      </c>
      <c r="G28" s="56"/>
    </row>
    <row r="29" spans="1:7" x14ac:dyDescent="0.25">
      <c r="A29" s="69" t="s">
        <v>14</v>
      </c>
      <c r="B29" s="67">
        <v>1.9</v>
      </c>
      <c r="C29" s="71">
        <f>2*PI()*B$12</f>
        <v>2.5132741228718345</v>
      </c>
      <c r="D29" s="71">
        <v>30</v>
      </c>
      <c r="E29" s="50">
        <v>1.4</v>
      </c>
      <c r="F29" s="50">
        <f>E29*D29*C29*B29</f>
        <v>200.5592750051724</v>
      </c>
      <c r="G29" s="56"/>
    </row>
    <row r="30" spans="1:7" x14ac:dyDescent="0.25">
      <c r="A30" s="69" t="s">
        <v>15</v>
      </c>
      <c r="B30" s="6">
        <f>B40</f>
        <v>2.5373952692510398</v>
      </c>
      <c r="C30" s="71">
        <f t="shared" ref="C30" si="0">2*PI()*B$12</f>
        <v>2.5132741228718345</v>
      </c>
      <c r="D30" s="71">
        <v>15</v>
      </c>
      <c r="E30" s="50">
        <v>1.1000000000000001</v>
      </c>
      <c r="F30" s="50">
        <f>E30*D30*C30*B30</f>
        <v>105.22330285014981</v>
      </c>
      <c r="G30" s="56"/>
    </row>
    <row r="31" spans="1:7" x14ac:dyDescent="0.25">
      <c r="A31" s="92"/>
      <c r="B31" s="65"/>
      <c r="C31" s="65"/>
      <c r="D31" s="65"/>
      <c r="E31" s="55"/>
      <c r="F31" s="55">
        <f>SUM(F29:F30)</f>
        <v>305.78257785532219</v>
      </c>
      <c r="G31" s="56"/>
    </row>
    <row r="32" spans="1:7" x14ac:dyDescent="0.25">
      <c r="A32" s="92"/>
      <c r="B32" s="65"/>
      <c r="C32" s="65"/>
      <c r="D32" s="65"/>
      <c r="E32" s="55"/>
      <c r="F32" s="55"/>
      <c r="G32" s="56"/>
    </row>
    <row r="33" spans="1:7" x14ac:dyDescent="0.25">
      <c r="A33" s="60"/>
      <c r="B33" s="55"/>
      <c r="C33" s="55"/>
      <c r="D33" s="55"/>
      <c r="E33" s="55"/>
      <c r="F33" s="55"/>
      <c r="G33" s="56"/>
    </row>
    <row r="34" spans="1:7" ht="16.5" thickBot="1" x14ac:dyDescent="0.3">
      <c r="A34" s="62"/>
      <c r="B34" s="63"/>
      <c r="C34" s="63"/>
      <c r="D34" s="63"/>
      <c r="E34" s="63"/>
      <c r="F34" s="63"/>
      <c r="G34" s="64"/>
    </row>
    <row r="38" spans="1:7" x14ac:dyDescent="0.25">
      <c r="A38" s="48" t="s">
        <v>74</v>
      </c>
      <c r="B38" s="48">
        <v>1.95</v>
      </c>
    </row>
    <row r="40" spans="1:7" x14ac:dyDescent="0.25">
      <c r="A40" s="48" t="s">
        <v>3</v>
      </c>
      <c r="B40" s="94">
        <v>2.5373952692510398</v>
      </c>
    </row>
    <row r="41" spans="1:7" x14ac:dyDescent="0.25">
      <c r="A41" s="48" t="s">
        <v>75</v>
      </c>
      <c r="B41" s="48">
        <f>B19+F29+E30*D30*C30*B40-B38*B6</f>
        <v>0</v>
      </c>
    </row>
    <row r="44" spans="1:7" x14ac:dyDescent="0.25">
      <c r="B44" s="48">
        <f>B19+F29+E30*D30*C30*B40</f>
        <v>42649.424999999996</v>
      </c>
      <c r="C44" s="48">
        <f>B38*B6</f>
        <v>42649.424999999996</v>
      </c>
    </row>
    <row r="45" spans="1:7" x14ac:dyDescent="0.25">
      <c r="B45" s="48">
        <f>B44/B6</f>
        <v>1.9499999999999997</v>
      </c>
    </row>
  </sheetData>
  <mergeCells count="5">
    <mergeCell ref="A1:E1"/>
    <mergeCell ref="A8:E8"/>
    <mergeCell ref="A9:E9"/>
    <mergeCell ref="A24:G24"/>
    <mergeCell ref="A25:G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"/>
  <sheetViews>
    <sheetView workbookViewId="0">
      <selection activeCell="A3" sqref="A3"/>
    </sheetView>
  </sheetViews>
  <sheetFormatPr baseColWidth="10" defaultRowHeight="15.75" x14ac:dyDescent="0.25"/>
  <sheetData>
    <row r="3" spans="1:2" x14ac:dyDescent="0.25">
      <c r="A3" t="s">
        <v>80</v>
      </c>
      <c r="B3">
        <f>0.009*Portance_profonde!B12*2</f>
        <v>8.9999999999999993E-3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8"/>
  <sheetViews>
    <sheetView topLeftCell="A22" workbookViewId="0">
      <selection activeCell="B14" sqref="B14:H18"/>
    </sheetView>
  </sheetViews>
  <sheetFormatPr baseColWidth="10" defaultRowHeight="15.75" x14ac:dyDescent="0.25"/>
  <cols>
    <col min="1" max="1" width="8" customWidth="1"/>
    <col min="2" max="2" width="16.5" customWidth="1"/>
    <col min="3" max="3" width="8.25" customWidth="1"/>
    <col min="4" max="4" width="8.625" customWidth="1"/>
    <col min="5" max="6" width="8" customWidth="1"/>
    <col min="7" max="7" width="7.375" customWidth="1"/>
    <col min="8" max="8" width="8.625" customWidth="1"/>
  </cols>
  <sheetData>
    <row r="2" spans="2:8" ht="16.5" thickBot="1" x14ac:dyDescent="0.3"/>
    <row r="3" spans="2:8" ht="47.25" x14ac:dyDescent="0.25">
      <c r="B3" s="97" t="s">
        <v>83</v>
      </c>
      <c r="C3" s="98" t="s">
        <v>84</v>
      </c>
      <c r="D3" s="98" t="s">
        <v>85</v>
      </c>
      <c r="E3" s="98" t="s">
        <v>86</v>
      </c>
      <c r="F3" s="98" t="s">
        <v>87</v>
      </c>
      <c r="G3" s="98" t="s">
        <v>88</v>
      </c>
      <c r="H3" s="105" t="s">
        <v>89</v>
      </c>
    </row>
    <row r="4" spans="2:8" ht="31.5" x14ac:dyDescent="0.25">
      <c r="B4" s="99" t="s">
        <v>90</v>
      </c>
      <c r="C4" s="100">
        <v>134</v>
      </c>
      <c r="D4" s="100">
        <v>117.33333333333334</v>
      </c>
      <c r="E4" s="100">
        <v>100.66666666666666</v>
      </c>
      <c r="F4" s="100">
        <v>92.333333333333343</v>
      </c>
      <c r="G4" s="100">
        <v>63.166666666666664</v>
      </c>
      <c r="H4" s="101">
        <v>34</v>
      </c>
    </row>
    <row r="5" spans="2:8" ht="31.5" x14ac:dyDescent="0.25">
      <c r="B5" s="99" t="s">
        <v>23</v>
      </c>
      <c r="C5" s="100">
        <v>5.3600000000000002E-2</v>
      </c>
      <c r="D5" s="100">
        <v>4.4977777777777776E-2</v>
      </c>
      <c r="E5" s="100">
        <v>3.691111111111111E-2</v>
      </c>
      <c r="F5" s="100">
        <v>3.3086111111111115E-2</v>
      </c>
      <c r="G5" s="100">
        <v>2.0792361111111112E-2</v>
      </c>
      <c r="H5" s="101">
        <v>1.0200000000000001E-2</v>
      </c>
    </row>
    <row r="6" spans="2:8" ht="31.5" x14ac:dyDescent="0.25">
      <c r="B6" s="106" t="s">
        <v>24</v>
      </c>
      <c r="C6" s="107">
        <v>0.26385730027089271</v>
      </c>
      <c r="D6" s="107">
        <v>0.24</v>
      </c>
      <c r="E6" s="107">
        <v>0.22</v>
      </c>
      <c r="F6" s="107">
        <v>0.21</v>
      </c>
      <c r="G6" s="107">
        <v>0.14000000000000001</v>
      </c>
      <c r="H6" s="108">
        <v>0.05</v>
      </c>
    </row>
    <row r="7" spans="2:8" ht="32.25" thickBot="1" x14ac:dyDescent="0.3">
      <c r="B7" s="102" t="s">
        <v>31</v>
      </c>
      <c r="C7" s="103">
        <v>9.571428571428571E-3</v>
      </c>
      <c r="D7" s="103">
        <v>9.7777777777777793E-3</v>
      </c>
      <c r="E7" s="103">
        <v>9.587301587301587E-3</v>
      </c>
      <c r="F7" s="103">
        <v>9.3432539682539676E-3</v>
      </c>
      <c r="G7" s="103">
        <v>7.7078373015873006E-3</v>
      </c>
      <c r="H7" s="104">
        <v>4.8571428571428567E-3</v>
      </c>
    </row>
    <row r="9" spans="2:8" ht="16.5" thickBot="1" x14ac:dyDescent="0.3"/>
    <row r="10" spans="2:8" ht="32.25" thickBot="1" x14ac:dyDescent="0.3">
      <c r="C10" s="98" t="s">
        <v>84</v>
      </c>
      <c r="D10" s="98" t="s">
        <v>85</v>
      </c>
      <c r="E10" s="98" t="s">
        <v>86</v>
      </c>
      <c r="F10" s="98" t="s">
        <v>87</v>
      </c>
      <c r="G10" s="98" t="s">
        <v>88</v>
      </c>
      <c r="H10" s="105" t="s">
        <v>89</v>
      </c>
    </row>
    <row r="11" spans="2:8" ht="47.25" x14ac:dyDescent="0.25">
      <c r="B11" s="97" t="s">
        <v>91</v>
      </c>
      <c r="C11" s="95">
        <f t="shared" ref="C11" ca="1" si="0">#REF!+#REF!+$C11/100*#REF!</f>
        <v>0.14232861865269639</v>
      </c>
      <c r="D11" s="95">
        <f t="shared" ref="D11" ca="1" si="1">#REF!+#REF!+$C11/100*#REF!</f>
        <v>0.12675555555555557</v>
      </c>
      <c r="E11" s="95">
        <f t="shared" ref="E11:H11" ca="1" si="2">A$30+A$28+$C11/100*A$29</f>
        <v>0.11249841269841271</v>
      </c>
      <c r="F11" s="95">
        <f t="shared" ca="1" si="2"/>
        <v>0.10542936507936508</v>
      </c>
      <c r="G11" s="95">
        <f t="shared" ca="1" si="2"/>
        <v>7.0500198412698417E-2</v>
      </c>
      <c r="H11" s="95">
        <f t="shared" ca="1" si="2"/>
        <v>3.0057142857142859E-2</v>
      </c>
    </row>
    <row r="13" spans="2:8" ht="16.5" thickBot="1" x14ac:dyDescent="0.3"/>
    <row r="14" spans="2:8" ht="47.25" x14ac:dyDescent="0.25">
      <c r="B14" s="35" t="s">
        <v>33</v>
      </c>
      <c r="C14" s="98" t="s">
        <v>95</v>
      </c>
      <c r="D14" s="98" t="s">
        <v>96</v>
      </c>
      <c r="E14" s="98" t="s">
        <v>97</v>
      </c>
      <c r="F14" s="98" t="s">
        <v>98</v>
      </c>
      <c r="G14" s="98" t="s">
        <v>99</v>
      </c>
      <c r="H14" s="105" t="s">
        <v>100</v>
      </c>
    </row>
    <row r="15" spans="2:8" x14ac:dyDescent="0.25">
      <c r="B15" s="38" t="s">
        <v>22</v>
      </c>
      <c r="C15" s="39">
        <v>15</v>
      </c>
      <c r="D15" s="39">
        <v>15</v>
      </c>
      <c r="E15" s="39">
        <v>15</v>
      </c>
      <c r="F15" s="39">
        <v>15</v>
      </c>
      <c r="G15" s="39">
        <v>15</v>
      </c>
      <c r="H15" s="39">
        <v>15</v>
      </c>
    </row>
    <row r="16" spans="2:8" ht="31.5" x14ac:dyDescent="0.25">
      <c r="B16" s="38" t="s">
        <v>92</v>
      </c>
      <c r="C16" s="39">
        <v>6.0000000000000001E-3</v>
      </c>
      <c r="D16" s="39">
        <v>5.749999999999999E-3</v>
      </c>
      <c r="E16" s="39">
        <v>5.5000000000000005E-3</v>
      </c>
      <c r="F16" s="39">
        <v>5.3749999999999996E-3</v>
      </c>
      <c r="G16" s="39">
        <v>4.9375000000000009E-3</v>
      </c>
      <c r="H16" s="40">
        <v>4.4999999999999997E-3</v>
      </c>
    </row>
    <row r="17" spans="2:8" ht="51" customHeight="1" x14ac:dyDescent="0.25">
      <c r="B17" s="41" t="s">
        <v>93</v>
      </c>
      <c r="C17" s="42">
        <v>3.9096400369235743E-3</v>
      </c>
      <c r="D17" s="42">
        <v>6.7999999999999996E-3</v>
      </c>
      <c r="E17" s="42">
        <v>4.5999999999999999E-3</v>
      </c>
      <c r="F17" s="42">
        <v>4.7000000000000002E-3</v>
      </c>
      <c r="G17" s="42">
        <v>5.1000000000000004E-3</v>
      </c>
      <c r="H17" s="43">
        <v>5.5999999999999999E-3</v>
      </c>
    </row>
    <row r="18" spans="2:8" ht="48" thickBot="1" x14ac:dyDescent="0.3">
      <c r="B18" s="44" t="s">
        <v>94</v>
      </c>
      <c r="C18" s="45">
        <v>1.0714285714285715E-3</v>
      </c>
      <c r="D18" s="45">
        <v>1.25E-3</v>
      </c>
      <c r="E18" s="45">
        <v>1.4285714285714288E-3</v>
      </c>
      <c r="F18" s="45">
        <v>1.5178571428571426E-3</v>
      </c>
      <c r="G18" s="45">
        <v>1.8303571428571429E-3</v>
      </c>
      <c r="H18" s="46">
        <v>2.142857142857143E-3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Tassement_sans_surchage</vt:lpstr>
      <vt:lpstr>Tassement_diff</vt:lpstr>
      <vt:lpstr>Portance_profonde</vt:lpstr>
      <vt:lpstr>Portance_inclusion</vt:lpstr>
      <vt:lpstr>tassement_profonde</vt:lpstr>
      <vt:lpstr>Feuil3</vt:lpstr>
    </vt:vector>
  </TitlesOfParts>
  <Company>ETUDIANTE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LAOT DELPHINE</dc:creator>
  <cp:lastModifiedBy>user</cp:lastModifiedBy>
  <cp:lastPrinted>2019-03-31T13:54:39Z</cp:lastPrinted>
  <dcterms:created xsi:type="dcterms:W3CDTF">2019-03-29T07:55:42Z</dcterms:created>
  <dcterms:modified xsi:type="dcterms:W3CDTF">2019-03-31T15:16:28Z</dcterms:modified>
</cp:coreProperties>
</file>