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pha\Desktop\"/>
    </mc:Choice>
  </mc:AlternateContent>
  <xr:revisionPtr revIDLastSave="0" documentId="13_ncr:1_{916A6C9D-9C84-4F89-BB49-CC78B71E0240}" xr6:coauthVersionLast="45" xr6:coauthVersionMax="46" xr10:uidLastSave="{00000000-0000-0000-0000-000000000000}"/>
  <bookViews>
    <workbookView xWindow="-108" yWindow="-108" windowWidth="23256" windowHeight="13176" xr2:uid="{9297B4F6-304E-49C2-95EF-EEC7DDCE457F}"/>
  </bookViews>
  <sheets>
    <sheet name="Example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2" l="1"/>
  <c r="H74" i="2"/>
  <c r="I74" i="2"/>
  <c r="H72" i="2"/>
  <c r="H71" i="2"/>
  <c r="G72" i="2"/>
  <c r="G71" i="2"/>
  <c r="G35" i="2"/>
  <c r="H59" i="2"/>
  <c r="H60" i="2"/>
  <c r="H61" i="2"/>
  <c r="H62" i="2"/>
  <c r="H63" i="2"/>
  <c r="H64" i="2"/>
  <c r="H65" i="2"/>
  <c r="H66" i="2"/>
  <c r="H67" i="2"/>
  <c r="H58" i="2"/>
  <c r="J59" i="2"/>
  <c r="J60" i="2"/>
  <c r="J61" i="2"/>
  <c r="J62" i="2"/>
  <c r="J63" i="2"/>
  <c r="J64" i="2"/>
  <c r="J65" i="2"/>
  <c r="J66" i="2"/>
  <c r="J67" i="2"/>
  <c r="J58" i="2"/>
  <c r="I59" i="2"/>
  <c r="I60" i="2"/>
  <c r="I61" i="2"/>
  <c r="I62" i="2"/>
  <c r="I63" i="2"/>
  <c r="I64" i="2"/>
  <c r="I65" i="2"/>
  <c r="I66" i="2"/>
  <c r="I67" i="2"/>
  <c r="I58" i="2"/>
  <c r="F58" i="2"/>
  <c r="H43" i="2"/>
  <c r="H40" i="2"/>
  <c r="H41" i="2"/>
  <c r="H39" i="2"/>
  <c r="H34" i="2"/>
  <c r="H31" i="2"/>
  <c r="H32" i="2"/>
  <c r="H33" i="2"/>
  <c r="H30" i="2"/>
  <c r="I36" i="2" l="1"/>
  <c r="I35" i="2"/>
  <c r="H35" i="2"/>
  <c r="J35" i="2"/>
  <c r="H36" i="2"/>
  <c r="J36" i="2"/>
  <c r="I31" i="2"/>
  <c r="I32" i="2"/>
  <c r="I33" i="2"/>
  <c r="I34" i="2"/>
  <c r="I30" i="2"/>
  <c r="I41" i="2"/>
  <c r="I39" i="2"/>
  <c r="G36" i="2"/>
  <c r="B100" i="2" l="1"/>
  <c r="B102" i="2" s="1"/>
  <c r="C83" i="2" s="1"/>
  <c r="B90" i="2"/>
  <c r="B92" i="2" s="1"/>
  <c r="C81" i="2" s="1"/>
  <c r="G64" i="2" l="1"/>
  <c r="G65" i="2"/>
  <c r="G66" i="2"/>
  <c r="G67" i="2"/>
  <c r="G58" i="2"/>
  <c r="G74" i="2"/>
  <c r="G59" i="2"/>
  <c r="G60" i="2"/>
  <c r="G61" i="2"/>
  <c r="G62" i="2"/>
  <c r="G63" i="2"/>
  <c r="G41" i="2"/>
  <c r="G30" i="2"/>
  <c r="G39" i="2"/>
  <c r="G31" i="2"/>
  <c r="G32" i="2"/>
  <c r="G33" i="2"/>
  <c r="G34" i="2"/>
  <c r="D12" i="2" l="1"/>
  <c r="C13" i="2" l="1"/>
  <c r="D13" i="2" l="1"/>
  <c r="C14" i="2"/>
  <c r="D14" i="2" l="1"/>
  <c r="C15" i="2"/>
  <c r="C16" i="2" l="1"/>
  <c r="B95" i="2" s="1"/>
  <c r="B97" i="2" s="1"/>
  <c r="C82" i="2" s="1"/>
  <c r="C84" i="2" s="1"/>
  <c r="D15" i="2"/>
  <c r="C17" i="2" l="1"/>
  <c r="D17" i="2" s="1"/>
  <c r="D16" i="2"/>
  <c r="D18" i="2" l="1"/>
  <c r="B9" i="2" s="1"/>
</calcChain>
</file>

<file path=xl/sharedStrings.xml><?xml version="1.0" encoding="utf-8"?>
<sst xmlns="http://schemas.openxmlformats.org/spreadsheetml/2006/main" count="94" uniqueCount="73">
  <si>
    <t>Discounted Cash Flow Analysis</t>
  </si>
  <si>
    <t>Discount Rate</t>
  </si>
  <si>
    <t>Terminal Multiple (EV/FCF)</t>
  </si>
  <si>
    <t>2021 Free Cash Flow ($)</t>
  </si>
  <si>
    <t>Terminal Value</t>
  </si>
  <si>
    <t>Intrinsic Value (EV)</t>
  </si>
  <si>
    <t>Intrinsic Value ($ Enterprise Value)</t>
  </si>
  <si>
    <t>Relative Valuation</t>
  </si>
  <si>
    <t>Company Name</t>
  </si>
  <si>
    <t>Revenue 2020A</t>
  </si>
  <si>
    <t>Revenue 2021E</t>
  </si>
  <si>
    <t>EBITDA 2020A</t>
  </si>
  <si>
    <t>EV/Revenue 2020A</t>
  </si>
  <si>
    <t>EV/Revenue 2021E</t>
  </si>
  <si>
    <t>EV/EBITDA 2020A</t>
  </si>
  <si>
    <t>EV/EBITDA 2021E</t>
  </si>
  <si>
    <t>Ford Motor Company</t>
  </si>
  <si>
    <t>Bayerische Motoren Werke (BMW)</t>
  </si>
  <si>
    <t>General Motors Company</t>
  </si>
  <si>
    <t>Energy Storage &amp; Solar Manufacturers</t>
  </si>
  <si>
    <t>Average</t>
  </si>
  <si>
    <t>Median</t>
  </si>
  <si>
    <t>Tesla Inc</t>
  </si>
  <si>
    <t>Peer Group</t>
  </si>
  <si>
    <t>Weighting*</t>
  </si>
  <si>
    <t>EV/Revenue 2021A</t>
  </si>
  <si>
    <t>Energy and Solar Median</t>
  </si>
  <si>
    <t>Car Manufacturers Median</t>
  </si>
  <si>
    <t>Weighted Average</t>
  </si>
  <si>
    <t>Tesla Implied Enterprise Value, $m</t>
  </si>
  <si>
    <t>* Based on share of segments in Tesla's 2020 Revenue. EV and ICE-focused companies have an even split in total Auto weighting</t>
  </si>
  <si>
    <t>ICE Car Manufacturers†</t>
  </si>
  <si>
    <r>
      <rPr>
        <sz val="11"/>
        <color theme="1"/>
        <rFont val="Calibri"/>
        <family val="2"/>
        <scheme val="minor"/>
      </rPr>
      <t xml:space="preserve">† </t>
    </r>
    <r>
      <rPr>
        <i/>
        <sz val="11"/>
        <color theme="1"/>
        <rFont val="Calibri"/>
        <family val="2"/>
        <scheme val="minor"/>
      </rPr>
      <t>Companies where Electric Vehicles made up less than 50% of 2020 Revenue</t>
    </r>
  </si>
  <si>
    <t>Electric Vehicle Manufacturers‡</t>
  </si>
  <si>
    <r>
      <rPr>
        <sz val="11"/>
        <color theme="1"/>
        <rFont val="Calibri"/>
        <family val="2"/>
        <scheme val="minor"/>
      </rPr>
      <t>‡</t>
    </r>
    <r>
      <rPr>
        <i/>
        <sz val="11"/>
        <color theme="1"/>
        <rFont val="Calibri"/>
        <family val="2"/>
        <scheme val="minor"/>
      </rPr>
      <t xml:space="preserve"> Companies where Electric Vehicles made up over 50% of 2020 Revenue</t>
    </r>
  </si>
  <si>
    <t>Tech Companies</t>
  </si>
  <si>
    <t>Apple Inc.</t>
  </si>
  <si>
    <t>Amazon.com Inc.</t>
  </si>
  <si>
    <t xml:space="preserve">Alphabet </t>
  </si>
  <si>
    <t>Facebook</t>
  </si>
  <si>
    <t>Netflix</t>
  </si>
  <si>
    <t>Microsoft</t>
  </si>
  <si>
    <t>Free Cash Flow</t>
  </si>
  <si>
    <t>Discounted Cash Flow</t>
  </si>
  <si>
    <t>Hyundai Motor Company</t>
  </si>
  <si>
    <t>Volkswagen AG</t>
  </si>
  <si>
    <t>I expect Tesla will have plently of further growth potential after 2025</t>
  </si>
  <si>
    <t xml:space="preserve">Enterprise Value § </t>
  </si>
  <si>
    <t>§ Enterprise Values as of Market Close on 24/03/2021</t>
  </si>
  <si>
    <t>EBITDA 2021E</t>
  </si>
  <si>
    <t>Churchill Capital Corp IV (Lucid)</t>
  </si>
  <si>
    <t>Alibaba Group</t>
  </si>
  <si>
    <t>Intel Corporation</t>
  </si>
  <si>
    <t>Square Inc</t>
  </si>
  <si>
    <t xml:space="preserve">Advanced Micro Devices Inc </t>
  </si>
  <si>
    <t>First Chicago Method of Valuation</t>
  </si>
  <si>
    <t>Bull Case (Optimistic)</t>
  </si>
  <si>
    <t xml:space="preserve">Base Case </t>
  </si>
  <si>
    <t>Bear Case (Pessimistic)</t>
  </si>
  <si>
    <t>Implied Valuation ($m)</t>
  </si>
  <si>
    <t>Scenarios</t>
  </si>
  <si>
    <t>Bull</t>
  </si>
  <si>
    <t>Base</t>
  </si>
  <si>
    <t>Bear</t>
  </si>
  <si>
    <t>Result</t>
  </si>
  <si>
    <t>Weighting††</t>
  </si>
  <si>
    <t>Exit Multiple</t>
  </si>
  <si>
    <t>2025 FCF NPV</t>
  </si>
  <si>
    <t>Consensus Valuation ($m)</t>
  </si>
  <si>
    <r>
      <t>††</t>
    </r>
    <r>
      <rPr>
        <i/>
        <sz val="11"/>
        <color theme="1"/>
        <rFont val="Calibri"/>
        <family val="2"/>
        <scheme val="minor"/>
      </rPr>
      <t xml:space="preserve"> Due to the market's overall optimism of Tesla's future earnings potential, I have assigned a 50% weighting on the bull case. For the base and bear cases I assign a 25% probabilities. Using the below results of each case and my assigned probabilities, I obtain a weighted-average of the results as a valuation for Tesla Inc.</t>
    </r>
  </si>
  <si>
    <t>Nio Inc</t>
  </si>
  <si>
    <t>Xpeng Inc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</si>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</sst>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4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4" applyFont="1" applyAlignment="1">
      <alignment horizontal="center" vertical="center"/>
    </xf>
    <xf numFmtId="0" fontId="4" fillId="4" borderId="0" xfId="4" applyFont="1"/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4" fillId="4" borderId="0" xfId="4" applyFont="1" applyBorder="1"/>
    <xf numFmtId="3" fontId="4" fillId="4" borderId="0" xfId="4" applyNumberFormat="1" applyFont="1" applyBorder="1"/>
    <xf numFmtId="0" fontId="1" fillId="2" borderId="0" xfId="1" applyAlignment="1">
      <alignment horizontal="right"/>
    </xf>
    <xf numFmtId="0" fontId="7" fillId="3" borderId="2" xfId="2" applyFont="1"/>
    <xf numFmtId="3" fontId="7" fillId="3" borderId="2" xfId="2" applyNumberFormat="1" applyFont="1"/>
    <xf numFmtId="0" fontId="7" fillId="3" borderId="2" xfId="2" applyFont="1" applyAlignment="1">
      <alignment horizontal="right"/>
    </xf>
    <xf numFmtId="0" fontId="1" fillId="2" borderId="0" xfId="1" applyAlignment="1">
      <alignment horizontal="right" vertical="center"/>
    </xf>
    <xf numFmtId="3" fontId="2" fillId="3" borderId="2" xfId="2" applyNumberFormat="1" applyFont="1" applyAlignment="1">
      <alignment horizontal="right"/>
    </xf>
    <xf numFmtId="0" fontId="1" fillId="2" borderId="0" xfId="1" applyAlignment="1"/>
    <xf numFmtId="3" fontId="4" fillId="4" borderId="0" xfId="4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4" fillId="4" borderId="0" xfId="4" applyFont="1" applyBorder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3" borderId="1" xfId="3"/>
    <xf numFmtId="3" fontId="3" fillId="3" borderId="5" xfId="3" applyNumberFormat="1" applyBorder="1"/>
    <xf numFmtId="3" fontId="0" fillId="0" borderId="0" xfId="0" applyNumberFormat="1" applyAlignment="1">
      <alignment horizontal="right"/>
    </xf>
    <xf numFmtId="2" fontId="2" fillId="3" borderId="3" xfId="2" applyNumberFormat="1" applyBorder="1" applyAlignment="1">
      <alignment horizontal="right"/>
    </xf>
    <xf numFmtId="2" fontId="2" fillId="3" borderId="7" xfId="2" applyNumberFormat="1" applyBorder="1" applyAlignment="1">
      <alignment horizontal="right"/>
    </xf>
    <xf numFmtId="164" fontId="0" fillId="0" borderId="0" xfId="0" applyNumberFormat="1"/>
    <xf numFmtId="0" fontId="2" fillId="3" borderId="2" xfId="2"/>
    <xf numFmtId="0" fontId="0" fillId="0" borderId="0" xfId="0"/>
    <xf numFmtId="0" fontId="0" fillId="0" borderId="0" xfId="0" applyBorder="1" applyAlignment="1">
      <alignment vertical="top" wrapText="1"/>
    </xf>
    <xf numFmtId="0" fontId="3" fillId="3" borderId="3" xfId="3" applyBorder="1"/>
    <xf numFmtId="0" fontId="3" fillId="3" borderId="4" xfId="3" applyBorder="1"/>
    <xf numFmtId="0" fontId="6" fillId="0" borderId="0" xfId="0" applyFont="1"/>
    <xf numFmtId="0" fontId="2" fillId="3" borderId="6" xfId="2" applyBorder="1"/>
    <xf numFmtId="3" fontId="0" fillId="0" borderId="0" xfId="0" applyNumberFormat="1" applyAlignment="1">
      <alignment horizontal="right" vertical="center"/>
    </xf>
    <xf numFmtId="0" fontId="2" fillId="3" borderId="2" xfId="2" applyAlignment="1">
      <alignment horizontal="right"/>
    </xf>
    <xf numFmtId="0" fontId="2" fillId="3" borderId="2" xfId="2" applyAlignment="1"/>
  </cellXfs>
  <cellStyles count="5">
    <cellStyle name="60% - Accent1" xfId="1" builtinId="32"/>
    <cellStyle name="Accent1" xfId="4" builtinId="29"/>
    <cellStyle name="Calculation" xfId="3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F8C-7CB9-4EF3-8BCB-DCB47DF8E911}">
  <dimension ref="A4:J104"/>
  <sheetViews>
    <sheetView tabSelected="1" topLeftCell="A53" zoomScaleNormal="100" workbookViewId="0">
      <selection activeCell="F77" sqref="F77"/>
    </sheetView>
  </sheetViews>
  <sheetFormatPr defaultRowHeight="14.4" x14ac:dyDescent="0.3"/>
  <cols>
    <col min="1" max="1" width="31" bestFit="1" customWidth="1"/>
    <col min="2" max="2" width="17.44140625" bestFit="1" customWidth="1"/>
    <col min="3" max="3" width="17.21875" bestFit="1" customWidth="1"/>
    <col min="4" max="4" width="19.77734375" bestFit="1" customWidth="1"/>
    <col min="5" max="5" width="18.21875" bestFit="1" customWidth="1"/>
    <col min="6" max="6" width="13.44140625" bestFit="1" customWidth="1"/>
    <col min="7" max="7" width="17.88671875" bestFit="1" customWidth="1"/>
    <col min="8" max="8" width="17.6640625" bestFit="1" customWidth="1"/>
    <col min="9" max="9" width="16.5546875" bestFit="1" customWidth="1"/>
    <col min="10" max="10" width="16.33203125" bestFit="1" customWidth="1"/>
  </cols>
  <sheetData>
    <row r="4" spans="1:6" x14ac:dyDescent="0.3">
      <c r="A4" s="8" t="s">
        <v>0</v>
      </c>
    </row>
    <row r="5" spans="1:6" x14ac:dyDescent="0.3">
      <c r="A5" t="s">
        <v>3</v>
      </c>
      <c r="B5" s="1">
        <v>8600000000</v>
      </c>
      <c r="C5" s="32"/>
      <c r="D5" s="32"/>
      <c r="E5" s="32"/>
    </row>
    <row r="6" spans="1:6" x14ac:dyDescent="0.3">
      <c r="A6" t="s">
        <v>1</v>
      </c>
      <c r="B6" s="2">
        <v>0.1</v>
      </c>
      <c r="C6" s="32"/>
      <c r="D6" s="32"/>
      <c r="E6" s="32"/>
    </row>
    <row r="7" spans="1:6" x14ac:dyDescent="0.3">
      <c r="A7" t="s">
        <v>2</v>
      </c>
      <c r="B7">
        <v>25</v>
      </c>
      <c r="C7" s="36" t="s">
        <v>46</v>
      </c>
      <c r="D7" s="36"/>
      <c r="E7" s="36"/>
      <c r="F7" s="36"/>
    </row>
    <row r="9" spans="1:6" x14ac:dyDescent="0.3">
      <c r="A9" s="25" t="s">
        <v>6</v>
      </c>
      <c r="B9" s="1">
        <f>D18</f>
        <v>893773793394.63867</v>
      </c>
    </row>
    <row r="10" spans="1:6" x14ac:dyDescent="0.3">
      <c r="B10" s="1"/>
    </row>
    <row r="11" spans="1:6" x14ac:dyDescent="0.3">
      <c r="A11" s="4"/>
      <c r="B11" s="18"/>
      <c r="C11" s="11" t="s">
        <v>42</v>
      </c>
      <c r="D11" s="11" t="s">
        <v>43</v>
      </c>
    </row>
    <row r="12" spans="1:6" x14ac:dyDescent="0.3">
      <c r="B12" s="15">
        <v>2021</v>
      </c>
      <c r="C12" s="16">
        <v>9200000000</v>
      </c>
      <c r="D12" s="16">
        <f>C12/(1+$B$6)^(B12-2020)</f>
        <v>8363636363.636363</v>
      </c>
    </row>
    <row r="13" spans="1:6" x14ac:dyDescent="0.3">
      <c r="B13" s="15">
        <v>2022</v>
      </c>
      <c r="C13" s="16">
        <f>C12*1.66</f>
        <v>15272000000</v>
      </c>
      <c r="D13" s="16">
        <f t="shared" ref="D13:D16" si="0">C13/(1+$B$6)^(B13-2020)</f>
        <v>12621487603.305782</v>
      </c>
    </row>
    <row r="14" spans="1:6" x14ac:dyDescent="0.3">
      <c r="B14" s="15">
        <v>2023</v>
      </c>
      <c r="C14" s="16">
        <f>C13*1.5</f>
        <v>22908000000</v>
      </c>
      <c r="D14" s="16">
        <f t="shared" si="0"/>
        <v>17211119459.053337</v>
      </c>
    </row>
    <row r="15" spans="1:6" x14ac:dyDescent="0.3">
      <c r="B15" s="15">
        <v>2024</v>
      </c>
      <c r="C15" s="16">
        <f t="shared" ref="C15:C16" si="1">C14*1.5</f>
        <v>34362000000</v>
      </c>
      <c r="D15" s="16">
        <f t="shared" si="0"/>
        <v>23469708353.254551</v>
      </c>
    </row>
    <row r="16" spans="1:6" x14ac:dyDescent="0.3">
      <c r="B16" s="15">
        <v>2025</v>
      </c>
      <c r="C16" s="16">
        <f t="shared" si="1"/>
        <v>51543000000</v>
      </c>
      <c r="D16" s="16">
        <f t="shared" si="0"/>
        <v>32004147754.438023</v>
      </c>
    </row>
    <row r="17" spans="1:10" x14ac:dyDescent="0.3">
      <c r="A17" s="4"/>
      <c r="B17" s="17" t="s">
        <v>4</v>
      </c>
      <c r="C17" s="16">
        <f>C16*B7</f>
        <v>1288575000000</v>
      </c>
      <c r="D17" s="16">
        <f>C17/(1+$B$6)^(B16-2020)</f>
        <v>800103693860.95056</v>
      </c>
    </row>
    <row r="18" spans="1:10" x14ac:dyDescent="0.3">
      <c r="A18" s="4"/>
      <c r="B18" s="17"/>
      <c r="C18" s="19" t="s">
        <v>5</v>
      </c>
      <c r="D18" s="16">
        <f>SUM(D12:D17)</f>
        <v>893773793394.63867</v>
      </c>
    </row>
    <row r="19" spans="1:10" x14ac:dyDescent="0.3">
      <c r="A19" s="4"/>
      <c r="B19" s="1"/>
      <c r="C19" s="1"/>
    </row>
    <row r="20" spans="1:10" x14ac:dyDescent="0.3">
      <c r="A20" s="8" t="s">
        <v>7</v>
      </c>
    </row>
    <row r="21" spans="1:10" x14ac:dyDescent="0.3">
      <c r="A21" s="3" t="s">
        <v>23</v>
      </c>
      <c r="B21" s="10" t="s">
        <v>25</v>
      </c>
      <c r="C21" s="10" t="s">
        <v>13</v>
      </c>
      <c r="D21" s="10" t="s">
        <v>14</v>
      </c>
      <c r="E21" s="10" t="s">
        <v>15</v>
      </c>
      <c r="F21" s="10" t="s">
        <v>24</v>
      </c>
    </row>
    <row r="22" spans="1:10" x14ac:dyDescent="0.3">
      <c r="A22" t="s">
        <v>27</v>
      </c>
      <c r="F22" s="2">
        <v>0.8</v>
      </c>
    </row>
    <row r="23" spans="1:10" x14ac:dyDescent="0.3">
      <c r="A23" t="s">
        <v>26</v>
      </c>
      <c r="F23" s="2">
        <v>0.2</v>
      </c>
    </row>
    <row r="24" spans="1:10" x14ac:dyDescent="0.3">
      <c r="A24" s="9" t="s">
        <v>28</v>
      </c>
    </row>
    <row r="25" spans="1:10" x14ac:dyDescent="0.3">
      <c r="A25" s="25" t="s">
        <v>29</v>
      </c>
    </row>
    <row r="26" spans="1:10" x14ac:dyDescent="0.3">
      <c r="A26" s="36" t="s">
        <v>30</v>
      </c>
      <c r="B26" s="36"/>
      <c r="C26" s="36"/>
      <c r="D26" s="36"/>
      <c r="E26" s="36"/>
      <c r="F26" s="36"/>
    </row>
    <row r="27" spans="1:10" x14ac:dyDescent="0.3">
      <c r="B27" s="1"/>
      <c r="C27" s="1"/>
    </row>
    <row r="28" spans="1:10" x14ac:dyDescent="0.3">
      <c r="A28" s="7" t="s">
        <v>8</v>
      </c>
      <c r="B28" s="7" t="s">
        <v>47</v>
      </c>
      <c r="C28" s="7" t="s">
        <v>9</v>
      </c>
      <c r="D28" s="7" t="s">
        <v>10</v>
      </c>
      <c r="E28" s="7" t="s">
        <v>11</v>
      </c>
      <c r="F28" s="7" t="s">
        <v>49</v>
      </c>
      <c r="G28" s="7" t="s">
        <v>12</v>
      </c>
      <c r="H28" s="7" t="s">
        <v>13</v>
      </c>
      <c r="I28" s="8" t="s">
        <v>14</v>
      </c>
      <c r="J28" s="8" t="s">
        <v>15</v>
      </c>
    </row>
    <row r="29" spans="1:10" x14ac:dyDescent="0.3">
      <c r="A29" s="20" t="s">
        <v>31</v>
      </c>
      <c r="B29" s="20"/>
      <c r="C29" s="20"/>
      <c r="D29" s="20"/>
      <c r="E29" s="20"/>
      <c r="F29" s="20"/>
      <c r="G29" s="20"/>
      <c r="H29" s="20"/>
      <c r="I29" s="20"/>
      <c r="J29" s="20"/>
    </row>
    <row r="30" spans="1:10" x14ac:dyDescent="0.3">
      <c r="A30" t="s">
        <v>16</v>
      </c>
      <c r="B30" s="27">
        <v>133677000000</v>
      </c>
      <c r="C30" s="1">
        <v>127144000000</v>
      </c>
      <c r="D30" s="1">
        <v>137200000000</v>
      </c>
      <c r="E30" s="1">
        <v>2779000000</v>
      </c>
      <c r="G30" s="22" t="str">
        <f>ROUND((B30/C30),2)&amp;"x"</f>
        <v>1.05x</v>
      </c>
      <c r="H30" s="4" t="str">
        <f>ROUND((B30/C31),2)&amp;"x"</f>
        <v>1.14x</v>
      </c>
      <c r="I30" s="4" t="str">
        <f>ROUND((B30/E30),2)&amp;"x"</f>
        <v>48.1x</v>
      </c>
    </row>
    <row r="31" spans="1:10" x14ac:dyDescent="0.3">
      <c r="A31" t="s">
        <v>17</v>
      </c>
      <c r="B31" s="27">
        <v>44869000000</v>
      </c>
      <c r="C31" s="1">
        <v>117000000000</v>
      </c>
      <c r="D31" s="1">
        <v>129860000000</v>
      </c>
      <c r="E31" s="1">
        <v>13000000000</v>
      </c>
      <c r="G31" s="22" t="str">
        <f t="shared" ref="G31:G34" si="2">ROUND((B31/C31),2)&amp;"x"</f>
        <v>0.38x</v>
      </c>
      <c r="H31" s="4" t="str">
        <f t="shared" ref="H31:H34" si="3">ROUND((B31/C32),2)&amp;"x"</f>
        <v>0.37x</v>
      </c>
      <c r="I31" s="4" t="str">
        <f t="shared" ref="I31:I34" si="4">ROUND((B31/E31),2)&amp;"x"</f>
        <v>3.45x</v>
      </c>
    </row>
    <row r="32" spans="1:10" x14ac:dyDescent="0.3">
      <c r="A32" t="s">
        <v>18</v>
      </c>
      <c r="B32" s="27">
        <v>133910000000</v>
      </c>
      <c r="C32" s="1">
        <v>122485000000</v>
      </c>
      <c r="D32" s="1">
        <v>139710000000</v>
      </c>
      <c r="E32" s="1">
        <v>13650000000</v>
      </c>
      <c r="G32" s="22" t="str">
        <f t="shared" si="2"/>
        <v>1.09x</v>
      </c>
      <c r="H32" s="4" t="str">
        <f t="shared" si="3"/>
        <v>1.49x</v>
      </c>
      <c r="I32" s="4" t="str">
        <f t="shared" si="4"/>
        <v>9.81x</v>
      </c>
    </row>
    <row r="33" spans="1:10" x14ac:dyDescent="0.3">
      <c r="A33" t="s">
        <v>44</v>
      </c>
      <c r="B33" s="27">
        <v>88831000000</v>
      </c>
      <c r="C33" s="1">
        <v>90020000000</v>
      </c>
      <c r="D33" s="1">
        <v>102300000000</v>
      </c>
      <c r="E33" s="1">
        <v>6393200922</v>
      </c>
      <c r="G33" s="22" t="str">
        <f t="shared" si="2"/>
        <v>0.99x</v>
      </c>
      <c r="H33" s="4" t="str">
        <f t="shared" si="3"/>
        <v>0.33x</v>
      </c>
      <c r="I33" s="4" t="str">
        <f t="shared" si="4"/>
        <v>13.89x</v>
      </c>
    </row>
    <row r="34" spans="1:10" x14ac:dyDescent="0.3">
      <c r="A34" t="s">
        <v>45</v>
      </c>
      <c r="B34" s="27">
        <v>314370000000</v>
      </c>
      <c r="C34" s="1">
        <v>267000000000</v>
      </c>
      <c r="D34" s="1">
        <v>293700000000</v>
      </c>
      <c r="E34" s="1">
        <v>29995700000</v>
      </c>
      <c r="G34" s="22" t="str">
        <f t="shared" si="2"/>
        <v>1.18x</v>
      </c>
      <c r="H34" s="4" t="str">
        <f>ROUND((B34/C34),2)&amp;"x"</f>
        <v>1.18x</v>
      </c>
      <c r="I34" s="4" t="str">
        <f t="shared" si="4"/>
        <v>10.48x</v>
      </c>
    </row>
    <row r="35" spans="1:10" x14ac:dyDescent="0.3">
      <c r="A35" s="31" t="s">
        <v>20</v>
      </c>
      <c r="B35" s="31"/>
      <c r="C35" s="31"/>
      <c r="D35" s="31"/>
      <c r="E35" s="31"/>
      <c r="F35" s="37"/>
      <c r="G35" s="29" t="str">
        <f>ROUND(AVERAGE((B30/C30),(B31/C31),(B32/C32),(B33/C33),(B34/C34)),2)&amp;"x"</f>
        <v>0.94x</v>
      </c>
      <c r="H35" s="29" t="str">
        <f t="shared" ref="H35:J35" si="5">ROUND(AVERAGE((C30/D30),(C31/D31),(C32/D32),(C33/D33),(C34/D34)),2)&amp;"x"</f>
        <v>0.9x</v>
      </c>
      <c r="I35" s="29" t="str">
        <f>ROUND(AVERAGE((B30/E30),(B31/E31),(B32/E32),(B33/E33),(B34/E34)),2)&amp;"x"</f>
        <v>17.15x</v>
      </c>
      <c r="J35" s="29" t="e">
        <f t="shared" si="5"/>
        <v>#DIV/0!</v>
      </c>
    </row>
    <row r="36" spans="1:10" x14ac:dyDescent="0.3">
      <c r="A36" s="31" t="s">
        <v>21</v>
      </c>
      <c r="B36" s="31"/>
      <c r="C36" s="31"/>
      <c r="D36" s="31"/>
      <c r="E36" s="31"/>
      <c r="F36" s="37"/>
      <c r="G36" s="28" t="str">
        <f>ROUND(MEDIAN((B30/C30),(B31/C31),(B32/C32),(B33/C33),(B34/C34)),2)&amp;"x"</f>
        <v>1.05x</v>
      </c>
      <c r="H36" s="28" t="str">
        <f t="shared" ref="H36:J36" si="6">ROUND(MEDIAN((C30/D30),(C31/D31),(C32/D32),(C33/D33),(C34/D34)),2)&amp;"x"</f>
        <v>0.9x</v>
      </c>
      <c r="I36" s="28" t="str">
        <f>ROUND(MEDIAN((B30/E30),(B31/E31),(B32/E32),(B33/E33),(B34/E34)),2)&amp;"x"</f>
        <v>10.48x</v>
      </c>
      <c r="J36" s="28" t="e">
        <f t="shared" si="6"/>
        <v>#DIV/0!</v>
      </c>
    </row>
    <row r="37" spans="1:10" x14ac:dyDescent="0.3">
      <c r="B37" s="4"/>
    </row>
    <row r="38" spans="1:10" x14ac:dyDescent="0.3">
      <c r="A38" s="3" t="s">
        <v>33</v>
      </c>
      <c r="B38" s="14"/>
      <c r="C38" s="3"/>
      <c r="D38" s="3"/>
      <c r="E38" s="3"/>
      <c r="F38" s="3"/>
      <c r="G38" s="14"/>
      <c r="H38" s="3"/>
      <c r="I38" s="3"/>
      <c r="J38" s="3"/>
    </row>
    <row r="39" spans="1:10" x14ac:dyDescent="0.3">
      <c r="A39" t="s">
        <v>70</v>
      </c>
      <c r="B39" s="27">
        <v>53008000000</v>
      </c>
      <c r="C39" s="1">
        <v>2491600000</v>
      </c>
      <c r="D39" s="27">
        <v>5250000000</v>
      </c>
      <c r="E39" s="30">
        <v>-812900000000</v>
      </c>
      <c r="F39" s="6" t="s">
        <v>72</v>
      </c>
      <c r="G39" s="4" t="str">
        <f>ROUND((B39/C39),2)&amp;"x"</f>
        <v>21.27x</v>
      </c>
      <c r="H39" s="4" t="str">
        <f>ROUND((B39/D39),2)&amp;"x"</f>
        <v>10.1x</v>
      </c>
      <c r="I39" s="4" t="str">
        <f>ROUND((B39/E39),2)&amp;"x"</f>
        <v>-0.07x</v>
      </c>
    </row>
    <row r="40" spans="1:10" x14ac:dyDescent="0.3">
      <c r="A40" t="s">
        <v>50</v>
      </c>
      <c r="B40" s="27">
        <v>6780000000</v>
      </c>
      <c r="C40" s="24" t="s">
        <v>72</v>
      </c>
      <c r="D40" s="38">
        <v>97000000</v>
      </c>
      <c r="E40" s="24" t="s">
        <v>72</v>
      </c>
      <c r="F40" s="24" t="s">
        <v>72</v>
      </c>
      <c r="G40" s="24" t="s">
        <v>72</v>
      </c>
      <c r="H40" s="4" t="str">
        <f t="shared" ref="H40:H41" si="7">ROUND((B40/D40),2)&amp;"x"</f>
        <v>69.9x</v>
      </c>
      <c r="I40" s="24" t="s">
        <v>72</v>
      </c>
      <c r="J40" s="24"/>
    </row>
    <row r="41" spans="1:10" x14ac:dyDescent="0.3">
      <c r="A41" t="s">
        <v>71</v>
      </c>
      <c r="B41" s="27">
        <v>25165000000</v>
      </c>
      <c r="C41" s="1">
        <v>895700000</v>
      </c>
      <c r="D41" s="27">
        <v>2200000000</v>
      </c>
      <c r="E41" s="30">
        <v>-418700000000</v>
      </c>
      <c r="F41" s="6" t="s">
        <v>72</v>
      </c>
      <c r="G41" s="4" t="str">
        <f t="shared" ref="G41" si="8">ROUND((B41/C41),2)&amp;"x"</f>
        <v>28.1x</v>
      </c>
      <c r="H41" s="4" t="str">
        <f t="shared" si="7"/>
        <v>11.44x</v>
      </c>
      <c r="I41" s="4" t="str">
        <f t="shared" ref="I41" si="9">ROUND((B41/E41),2)&amp;"x"</f>
        <v>-0.06x</v>
      </c>
    </row>
    <row r="42" spans="1:10" x14ac:dyDescent="0.3">
      <c r="B42" s="5"/>
      <c r="G42" s="4"/>
    </row>
    <row r="43" spans="1:10" x14ac:dyDescent="0.3">
      <c r="A43" s="31" t="s">
        <v>20</v>
      </c>
      <c r="B43" s="31"/>
      <c r="C43" s="31"/>
      <c r="D43" s="31"/>
      <c r="E43" s="31"/>
      <c r="F43" s="31"/>
      <c r="G43" s="39"/>
      <c r="H43" s="39" t="str">
        <f>ROUND(AVERAGE((B39/D39),(B40/D40),(B41/D41)),2)&amp;"x"</f>
        <v>30.48x</v>
      </c>
      <c r="I43" s="40"/>
      <c r="J43" s="40"/>
    </row>
    <row r="44" spans="1:10" x14ac:dyDescent="0.3">
      <c r="A44" s="31" t="s">
        <v>21</v>
      </c>
      <c r="B44" s="31"/>
      <c r="C44" s="31"/>
      <c r="D44" s="31"/>
      <c r="E44" s="31"/>
      <c r="F44" s="31"/>
      <c r="G44" s="40"/>
      <c r="H44" s="40"/>
      <c r="I44" s="40"/>
      <c r="J44" s="40"/>
    </row>
    <row r="46" spans="1:10" x14ac:dyDescent="0.3">
      <c r="A46" s="36" t="s">
        <v>32</v>
      </c>
      <c r="B46" s="36"/>
      <c r="C46" s="36"/>
      <c r="D46" s="36"/>
      <c r="E46" s="36"/>
      <c r="F46" s="36"/>
      <c r="G46" s="36"/>
    </row>
    <row r="47" spans="1:10" x14ac:dyDescent="0.3">
      <c r="A47" s="36" t="s">
        <v>34</v>
      </c>
      <c r="B47" s="36"/>
      <c r="C47" s="36"/>
      <c r="D47" s="36"/>
      <c r="E47" s="36"/>
      <c r="F47" s="36"/>
      <c r="G47" s="36"/>
    </row>
    <row r="50" spans="1:10" x14ac:dyDescent="0.3">
      <c r="A50" s="20" t="s">
        <v>19</v>
      </c>
      <c r="B50" s="20"/>
      <c r="C50" s="20"/>
      <c r="D50" s="20"/>
      <c r="E50" s="20"/>
      <c r="F50" s="20"/>
      <c r="G50" s="14"/>
      <c r="H50" s="20"/>
      <c r="I50" s="20"/>
      <c r="J50" s="20"/>
    </row>
    <row r="51" spans="1:10" x14ac:dyDescent="0.3">
      <c r="G51" s="4"/>
    </row>
    <row r="52" spans="1:10" x14ac:dyDescent="0.3">
      <c r="G52" s="4"/>
    </row>
    <row r="53" spans="1:10" x14ac:dyDescent="0.3">
      <c r="G53" s="4"/>
    </row>
    <row r="54" spans="1:10" x14ac:dyDescent="0.3">
      <c r="A54" s="31" t="s">
        <v>20</v>
      </c>
      <c r="B54" s="31"/>
      <c r="C54" s="31"/>
      <c r="D54" s="31"/>
      <c r="E54" s="31"/>
      <c r="F54" s="31"/>
      <c r="G54" s="4"/>
    </row>
    <row r="55" spans="1:10" x14ac:dyDescent="0.3">
      <c r="A55" s="31" t="s">
        <v>21</v>
      </c>
      <c r="B55" s="31"/>
      <c r="C55" s="31"/>
      <c r="D55" s="31"/>
      <c r="E55" s="31"/>
      <c r="F55" s="31"/>
      <c r="G55" s="4"/>
    </row>
    <row r="56" spans="1:10" x14ac:dyDescent="0.3">
      <c r="G56" s="4"/>
    </row>
    <row r="57" spans="1:10" x14ac:dyDescent="0.3">
      <c r="A57" s="20" t="s">
        <v>35</v>
      </c>
      <c r="B57" s="20"/>
      <c r="C57" s="20"/>
      <c r="D57" s="20"/>
      <c r="E57" s="20"/>
      <c r="F57" s="20"/>
      <c r="G57" s="14"/>
      <c r="H57" s="20"/>
      <c r="I57" s="20"/>
      <c r="J57" s="20"/>
    </row>
    <row r="58" spans="1:10" x14ac:dyDescent="0.3">
      <c r="A58" t="s">
        <v>36</v>
      </c>
      <c r="B58" s="24">
        <v>2129045000000</v>
      </c>
      <c r="C58" s="1">
        <v>274515000000</v>
      </c>
      <c r="D58" s="1">
        <v>333420000000</v>
      </c>
      <c r="E58" s="1">
        <v>76800000000</v>
      </c>
      <c r="F58" s="1">
        <f>E58*1.2</f>
        <v>92160000000</v>
      </c>
      <c r="G58" s="4" t="str">
        <f>ROUND((B58/C58),2)&amp;"x"</f>
        <v>7.76x</v>
      </c>
      <c r="H58" s="4" t="str">
        <f>ROUND((B58/D58),2)&amp;"x"</f>
        <v>6.39x</v>
      </c>
      <c r="I58" s="4" t="str">
        <f>ROUND((B58/E58),2)&amp;"x"</f>
        <v>27.72x</v>
      </c>
      <c r="J58" s="4" t="str">
        <f>ROUND((B58/F58),2)&amp;"x"</f>
        <v>23.1x</v>
      </c>
    </row>
    <row r="59" spans="1:10" x14ac:dyDescent="0.3">
      <c r="A59" t="s">
        <v>37</v>
      </c>
      <c r="B59" s="24">
        <v>1572673000000</v>
      </c>
      <c r="C59" s="1">
        <v>386064000000</v>
      </c>
      <c r="D59" s="1">
        <v>439000000000</v>
      </c>
      <c r="E59" s="1"/>
      <c r="G59" s="4" t="str">
        <f t="shared" ref="G59:G67" si="10">ROUND((B59/C59),2)&amp;"x"</f>
        <v>4.07x</v>
      </c>
      <c r="H59" s="4" t="str">
        <f t="shared" ref="H59:H67" si="11">ROUND((B59/D59),2)&amp;"x"</f>
        <v>3.58x</v>
      </c>
      <c r="I59" s="4" t="e">
        <f t="shared" ref="I59:I67" si="12">ROUND((B59/E59),2)&amp;"x"</f>
        <v>#DIV/0!</v>
      </c>
      <c r="J59" s="4" t="e">
        <f t="shared" ref="J59:J67" si="13">ROUND((B59/F59),2)&amp;"x"</f>
        <v>#DIV/0!</v>
      </c>
    </row>
    <row r="60" spans="1:10" x14ac:dyDescent="0.3">
      <c r="A60" t="s">
        <v>38</v>
      </c>
      <c r="B60" s="24">
        <v>1386686000000</v>
      </c>
      <c r="C60" s="1">
        <v>182527000000</v>
      </c>
      <c r="D60" s="1">
        <v>226100000000</v>
      </c>
      <c r="G60" s="4" t="str">
        <f t="shared" si="10"/>
        <v>7.6x</v>
      </c>
      <c r="H60" s="4" t="str">
        <f t="shared" si="11"/>
        <v>6.13x</v>
      </c>
      <c r="I60" s="4" t="e">
        <f t="shared" si="12"/>
        <v>#DIV/0!</v>
      </c>
      <c r="J60" s="4" t="e">
        <f t="shared" si="13"/>
        <v>#DIV/0!</v>
      </c>
    </row>
    <row r="61" spans="1:10" x14ac:dyDescent="0.3">
      <c r="A61" t="s">
        <v>39</v>
      </c>
      <c r="B61" s="24">
        <v>810042000000</v>
      </c>
      <c r="C61" s="1">
        <v>85965000000</v>
      </c>
      <c r="D61" s="1">
        <v>107550000000</v>
      </c>
      <c r="G61" s="4" t="str">
        <f t="shared" si="10"/>
        <v>9.42x</v>
      </c>
      <c r="H61" s="4" t="str">
        <f t="shared" si="11"/>
        <v>7.53x</v>
      </c>
      <c r="I61" s="4" t="e">
        <f t="shared" si="12"/>
        <v>#DIV/0!</v>
      </c>
      <c r="J61" s="4" t="e">
        <f t="shared" si="13"/>
        <v>#DIV/0!</v>
      </c>
    </row>
    <row r="62" spans="1:10" x14ac:dyDescent="0.3">
      <c r="A62" t="s">
        <v>40</v>
      </c>
      <c r="B62" s="24">
        <v>244592000000</v>
      </c>
      <c r="C62" s="1">
        <v>24996000000</v>
      </c>
      <c r="D62" s="1">
        <v>30050000000</v>
      </c>
      <c r="G62" s="4" t="str">
        <f t="shared" si="10"/>
        <v>9.79x</v>
      </c>
      <c r="H62" s="4" t="str">
        <f t="shared" si="11"/>
        <v>8.14x</v>
      </c>
      <c r="I62" s="4" t="e">
        <f t="shared" si="12"/>
        <v>#DIV/0!</v>
      </c>
      <c r="J62" s="4" t="e">
        <f t="shared" si="13"/>
        <v>#DIV/0!</v>
      </c>
    </row>
    <row r="63" spans="1:10" x14ac:dyDescent="0.3">
      <c r="A63" t="s">
        <v>41</v>
      </c>
      <c r="B63" s="24">
        <v>1820592000000</v>
      </c>
      <c r="C63" s="1">
        <v>143015000000</v>
      </c>
      <c r="D63" s="1">
        <v>164190000000</v>
      </c>
      <c r="G63" s="4" t="str">
        <f t="shared" si="10"/>
        <v>12.73x</v>
      </c>
      <c r="H63" s="4" t="str">
        <f t="shared" si="11"/>
        <v>11.09x</v>
      </c>
      <c r="I63" s="4" t="e">
        <f t="shared" si="12"/>
        <v>#DIV/0!</v>
      </c>
      <c r="J63" s="4" t="e">
        <f t="shared" si="13"/>
        <v>#DIV/0!</v>
      </c>
    </row>
    <row r="64" spans="1:10" x14ac:dyDescent="0.3">
      <c r="A64" t="s">
        <v>53</v>
      </c>
      <c r="B64" s="24">
        <v>102230000000</v>
      </c>
      <c r="C64" s="1">
        <v>9498000000</v>
      </c>
      <c r="D64" s="1">
        <v>13790000000</v>
      </c>
      <c r="G64" s="4" t="str">
        <f t="shared" si="10"/>
        <v>10.76x</v>
      </c>
      <c r="H64" s="4" t="str">
        <f t="shared" si="11"/>
        <v>7.41x</v>
      </c>
      <c r="I64" s="4" t="e">
        <f t="shared" si="12"/>
        <v>#DIV/0!</v>
      </c>
      <c r="J64" s="4" t="e">
        <f t="shared" si="13"/>
        <v>#DIV/0!</v>
      </c>
    </row>
    <row r="65" spans="1:10" x14ac:dyDescent="0.3">
      <c r="A65" t="s">
        <v>51</v>
      </c>
      <c r="B65" s="24">
        <v>620063000000</v>
      </c>
      <c r="C65" s="1">
        <v>72603000000</v>
      </c>
      <c r="D65" s="1">
        <v>108560000000</v>
      </c>
      <c r="G65" s="4" t="str">
        <f t="shared" si="10"/>
        <v>8.54x</v>
      </c>
      <c r="H65" s="4" t="str">
        <f t="shared" si="11"/>
        <v>5.71x</v>
      </c>
      <c r="I65" s="4" t="e">
        <f t="shared" si="12"/>
        <v>#DIV/0!</v>
      </c>
      <c r="J65" s="4" t="e">
        <f t="shared" si="13"/>
        <v>#DIV/0!</v>
      </c>
    </row>
    <row r="66" spans="1:10" x14ac:dyDescent="0.3">
      <c r="A66" t="s">
        <v>54</v>
      </c>
      <c r="B66" s="24">
        <v>94004000000</v>
      </c>
      <c r="C66" s="1">
        <v>9763000000</v>
      </c>
      <c r="D66" s="1">
        <v>15510000000</v>
      </c>
      <c r="G66" s="4" t="str">
        <f t="shared" si="10"/>
        <v>9.63x</v>
      </c>
      <c r="H66" s="4" t="str">
        <f t="shared" si="11"/>
        <v>6.06x</v>
      </c>
      <c r="I66" s="4" t="e">
        <f t="shared" si="12"/>
        <v>#DIV/0!</v>
      </c>
      <c r="J66" s="4" t="e">
        <f t="shared" si="13"/>
        <v>#DIV/0!</v>
      </c>
    </row>
    <row r="67" spans="1:10" x14ac:dyDescent="0.3">
      <c r="A67" t="s">
        <v>52</v>
      </c>
      <c r="B67" s="24">
        <v>294686000000</v>
      </c>
      <c r="C67" s="1">
        <v>77867000000</v>
      </c>
      <c r="D67" s="1">
        <v>72450000000</v>
      </c>
      <c r="G67" s="4" t="str">
        <f t="shared" si="10"/>
        <v>3.78x</v>
      </c>
      <c r="H67" s="4" t="str">
        <f t="shared" si="11"/>
        <v>4.07x</v>
      </c>
      <c r="I67" s="4" t="e">
        <f t="shared" si="12"/>
        <v>#DIV/0!</v>
      </c>
      <c r="J67" s="4" t="e">
        <f t="shared" si="13"/>
        <v>#DIV/0!</v>
      </c>
    </row>
    <row r="68" spans="1:10" x14ac:dyDescent="0.3">
      <c r="B68" s="24"/>
      <c r="C68" s="1"/>
      <c r="G68" s="4"/>
    </row>
    <row r="69" spans="1:10" x14ac:dyDescent="0.3">
      <c r="B69" s="24"/>
      <c r="C69" s="1"/>
      <c r="G69" s="4"/>
    </row>
    <row r="70" spans="1:10" x14ac:dyDescent="0.3">
      <c r="B70" s="6"/>
      <c r="G70" s="4"/>
    </row>
    <row r="71" spans="1:10" x14ac:dyDescent="0.3">
      <c r="A71" s="31" t="s">
        <v>20</v>
      </c>
      <c r="B71" s="31"/>
      <c r="C71" s="31"/>
      <c r="D71" s="31"/>
      <c r="E71" s="31"/>
      <c r="F71" s="31"/>
      <c r="G71" s="39" t="str">
        <f>ROUND(AVERAGE((B58/C58),(B59/C59),(B60/C60),(B61/C61),(B62/C62),(B63/C63),(B64/C64),(B65/C65),(B66/C66),(B67/C67)),2)&amp;"x"</f>
        <v>8.41x</v>
      </c>
      <c r="H71" s="39" t="str">
        <f>ROUND(AVERAGE((B58/D58),(B59/D59),(B60/D60),(B61/D61),(B62/D62),(B63/D63),(B64/D64),(B65/D65),(B66/D66),(B67/D67)),2)&amp;"x"</f>
        <v>6.61x</v>
      </c>
      <c r="I71" s="39"/>
      <c r="J71" s="39"/>
    </row>
    <row r="72" spans="1:10" x14ac:dyDescent="0.3">
      <c r="A72" s="31" t="s">
        <v>21</v>
      </c>
      <c r="B72" s="31"/>
      <c r="C72" s="31"/>
      <c r="D72" s="31"/>
      <c r="E72" s="31"/>
      <c r="F72" s="31"/>
      <c r="G72" s="39" t="str">
        <f>ROUND(MEDIAN((B58/C58),(B59/C59),(B60/C60),(B61/C61),(B62/C62),(B63/C63),(B64/C64),(B65/C65),(B66/C66),(B67/C67)),2)&amp;"x"</f>
        <v>8.98x</v>
      </c>
      <c r="H72" s="39" t="str">
        <f>ROUND(MEDIAN((B58/D58),(B59/D59),(B60/D60),(B61/D61),(B62/D62),(B63/D63),(B64/D64),(B65/D65),(B66/D66),(B67/D67)),2)&amp;"x"</f>
        <v>6.26x</v>
      </c>
      <c r="I72" s="39"/>
      <c r="J72" s="39"/>
    </row>
    <row r="73" spans="1:10" x14ac:dyDescent="0.3">
      <c r="B73" s="6"/>
      <c r="G73" s="4"/>
    </row>
    <row r="74" spans="1:10" x14ac:dyDescent="0.3">
      <c r="A74" s="12" t="s">
        <v>22</v>
      </c>
      <c r="B74" s="21">
        <v>626126000000</v>
      </c>
      <c r="C74" s="13">
        <v>31536000000</v>
      </c>
      <c r="D74" s="13">
        <v>48080000000</v>
      </c>
      <c r="E74" s="13">
        <v>5817000000</v>
      </c>
      <c r="F74" s="13">
        <v>8600000000</v>
      </c>
      <c r="G74" s="23" t="str">
        <f>ROUND((B74/C74),2)&amp;"x"</f>
        <v>19.85x</v>
      </c>
      <c r="H74" s="23" t="str">
        <f>ROUND((B74/D74),2)&amp;"x"</f>
        <v>13.02x</v>
      </c>
      <c r="I74" s="23" t="str">
        <f>ROUND((B74/E74),2)&amp;"x"</f>
        <v>107.64x</v>
      </c>
      <c r="J74" s="23" t="str">
        <f>ROUND((B74/F74),2)&amp;"x"</f>
        <v>72.81x</v>
      </c>
    </row>
    <row r="76" spans="1:10" x14ac:dyDescent="0.3">
      <c r="A76" s="32" t="s">
        <v>48</v>
      </c>
      <c r="B76" s="32"/>
      <c r="C76" s="32"/>
      <c r="D76" s="32"/>
      <c r="E76" s="32"/>
      <c r="F76" s="32"/>
    </row>
    <row r="79" spans="1:10" x14ac:dyDescent="0.3">
      <c r="A79" s="8" t="s">
        <v>55</v>
      </c>
    </row>
    <row r="80" spans="1:10" x14ac:dyDescent="0.3">
      <c r="A80" s="3" t="s">
        <v>60</v>
      </c>
      <c r="B80" s="10" t="s">
        <v>65</v>
      </c>
      <c r="C80" s="10" t="s">
        <v>64</v>
      </c>
    </row>
    <row r="81" spans="1:6" x14ac:dyDescent="0.3">
      <c r="A81" t="s">
        <v>61</v>
      </c>
      <c r="B81" s="2">
        <v>0.5</v>
      </c>
      <c r="C81" s="1">
        <f>B92</f>
        <v>2805000</v>
      </c>
    </row>
    <row r="82" spans="1:6" x14ac:dyDescent="0.3">
      <c r="A82" t="s">
        <v>62</v>
      </c>
      <c r="B82" s="2">
        <v>0.25</v>
      </c>
      <c r="C82" s="1">
        <f>B97</f>
        <v>1288575</v>
      </c>
    </row>
    <row r="83" spans="1:6" x14ac:dyDescent="0.3">
      <c r="A83" t="s">
        <v>63</v>
      </c>
      <c r="B83" s="2">
        <v>0.25</v>
      </c>
      <c r="C83" s="1">
        <f>B102</f>
        <v>240000</v>
      </c>
    </row>
    <row r="84" spans="1:6" x14ac:dyDescent="0.3">
      <c r="A84" s="34" t="s">
        <v>68</v>
      </c>
      <c r="B84" s="35"/>
      <c r="C84" s="26">
        <f>(B81*C81)+(B82*C82)+(B83*C83)</f>
        <v>1784643.75</v>
      </c>
    </row>
    <row r="85" spans="1:6" ht="14.55" customHeight="1" x14ac:dyDescent="0.3">
      <c r="A85" s="33" t="s">
        <v>69</v>
      </c>
      <c r="B85" s="33"/>
      <c r="C85" s="33"/>
      <c r="D85" s="33"/>
      <c r="E85" s="33"/>
      <c r="F85" s="33"/>
    </row>
    <row r="86" spans="1:6" x14ac:dyDescent="0.3">
      <c r="A86" s="33"/>
      <c r="B86" s="33"/>
      <c r="C86" s="33"/>
      <c r="D86" s="33"/>
      <c r="E86" s="33"/>
      <c r="F86" s="33"/>
    </row>
    <row r="87" spans="1:6" x14ac:dyDescent="0.3">
      <c r="A87" s="33"/>
      <c r="B87" s="33"/>
      <c r="C87" s="33"/>
      <c r="D87" s="33"/>
      <c r="E87" s="33"/>
      <c r="F87" s="33"/>
    </row>
    <row r="88" spans="1:6" hidden="1" x14ac:dyDescent="0.3"/>
    <row r="89" spans="1:6" hidden="1" x14ac:dyDescent="0.3">
      <c r="A89" s="3" t="s">
        <v>56</v>
      </c>
    </row>
    <row r="90" spans="1:6" hidden="1" x14ac:dyDescent="0.3">
      <c r="A90" t="s">
        <v>67</v>
      </c>
      <c r="B90" s="1">
        <f>85000000000/1000000</f>
        <v>85000</v>
      </c>
    </row>
    <row r="91" spans="1:6" hidden="1" x14ac:dyDescent="0.3">
      <c r="A91" t="s">
        <v>66</v>
      </c>
      <c r="B91">
        <v>33</v>
      </c>
    </row>
    <row r="92" spans="1:6" hidden="1" x14ac:dyDescent="0.3">
      <c r="A92" s="25" t="s">
        <v>59</v>
      </c>
      <c r="B92" s="1">
        <f>B90*B91</f>
        <v>2805000</v>
      </c>
    </row>
    <row r="93" spans="1:6" hidden="1" x14ac:dyDescent="0.3"/>
    <row r="94" spans="1:6" hidden="1" x14ac:dyDescent="0.3">
      <c r="A94" s="3" t="s">
        <v>57</v>
      </c>
    </row>
    <row r="95" spans="1:6" hidden="1" x14ac:dyDescent="0.3">
      <c r="A95" t="s">
        <v>67</v>
      </c>
      <c r="B95" s="1">
        <f>C16/1000000</f>
        <v>51543</v>
      </c>
    </row>
    <row r="96" spans="1:6" hidden="1" x14ac:dyDescent="0.3">
      <c r="A96" t="s">
        <v>66</v>
      </c>
      <c r="B96">
        <v>25</v>
      </c>
    </row>
    <row r="97" spans="1:2" hidden="1" x14ac:dyDescent="0.3">
      <c r="A97" s="25" t="s">
        <v>59</v>
      </c>
      <c r="B97" s="1">
        <f>B96*B95</f>
        <v>1288575</v>
      </c>
    </row>
    <row r="98" spans="1:2" hidden="1" x14ac:dyDescent="0.3">
      <c r="B98" s="1"/>
    </row>
    <row r="99" spans="1:2" hidden="1" x14ac:dyDescent="0.3">
      <c r="A99" s="3" t="s">
        <v>58</v>
      </c>
    </row>
    <row r="100" spans="1:2" hidden="1" x14ac:dyDescent="0.3">
      <c r="A100" t="s">
        <v>67</v>
      </c>
      <c r="B100" s="1">
        <f>16000000000/1000000</f>
        <v>16000</v>
      </c>
    </row>
    <row r="101" spans="1:2" hidden="1" x14ac:dyDescent="0.3">
      <c r="A101" t="s">
        <v>66</v>
      </c>
      <c r="B101">
        <v>15</v>
      </c>
    </row>
    <row r="102" spans="1:2" hidden="1" x14ac:dyDescent="0.3">
      <c r="A102" s="25" t="s">
        <v>59</v>
      </c>
      <c r="B102" s="1">
        <f>B100*B101</f>
        <v>240000</v>
      </c>
    </row>
    <row r="104" spans="1:2" x14ac:dyDescent="0.3">
      <c r="B104" s="1"/>
    </row>
  </sheetData>
  <mergeCells count="17">
    <mergeCell ref="A71:F71"/>
    <mergeCell ref="A72:F72"/>
    <mergeCell ref="C5:E5"/>
    <mergeCell ref="A76:F76"/>
    <mergeCell ref="A85:F87"/>
    <mergeCell ref="A84:B84"/>
    <mergeCell ref="C7:F7"/>
    <mergeCell ref="A47:G47"/>
    <mergeCell ref="A26:F26"/>
    <mergeCell ref="C6:E6"/>
    <mergeCell ref="A46:G46"/>
    <mergeCell ref="A43:F43"/>
    <mergeCell ref="A44:F44"/>
    <mergeCell ref="A35:F35"/>
    <mergeCell ref="A36:F36"/>
    <mergeCell ref="A54:F54"/>
    <mergeCell ref="A55:F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Del Rio</dc:creator>
  <cp:lastModifiedBy>Raphael Del Rio</cp:lastModifiedBy>
  <dcterms:created xsi:type="dcterms:W3CDTF">2021-03-23T03:10:20Z</dcterms:created>
  <dcterms:modified xsi:type="dcterms:W3CDTF">2021-03-26T22:03:40Z</dcterms:modified>
</cp:coreProperties>
</file>