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VS\Documents\TFE\Schéma DataBase\"/>
    </mc:Choice>
  </mc:AlternateContent>
  <bookViews>
    <workbookView xWindow="0" yWindow="0" windowWidth="20490" windowHeight="7530" activeTab="1"/>
  </bookViews>
  <sheets>
    <sheet name="Dictionnaire de données" sheetId="1" r:id="rId1"/>
    <sheet name="Estimations taille DB" sheetId="2" r:id="rId2"/>
    <sheet name="Questionnaire entreprise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0" i="2" l="1"/>
  <c r="H80" i="2"/>
  <c r="F80" i="2"/>
  <c r="H79" i="2"/>
  <c r="H78" i="2"/>
  <c r="H7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G10" i="2"/>
  <c r="G12" i="2"/>
  <c r="G13" i="2"/>
  <c r="G14" i="2"/>
  <c r="G15" i="2"/>
  <c r="G21" i="2"/>
  <c r="G22" i="2"/>
  <c r="G24" i="2"/>
  <c r="G27" i="2"/>
  <c r="G33" i="2"/>
  <c r="G34" i="2"/>
  <c r="G37" i="2"/>
  <c r="G38" i="2"/>
  <c r="G39" i="2"/>
  <c r="G40" i="2"/>
  <c r="G44" i="2"/>
  <c r="G45" i="2"/>
  <c r="G47" i="2"/>
  <c r="G49" i="2"/>
  <c r="G54" i="2"/>
  <c r="G55" i="2"/>
  <c r="G56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F10" i="2"/>
  <c r="F12" i="2"/>
  <c r="F13" i="2"/>
  <c r="F14" i="2"/>
  <c r="F15" i="2"/>
  <c r="F21" i="2"/>
  <c r="F22" i="2"/>
  <c r="F24" i="2"/>
  <c r="F27" i="2"/>
  <c r="F33" i="2"/>
  <c r="F34" i="2"/>
  <c r="F37" i="2"/>
  <c r="F38" i="2"/>
  <c r="F39" i="2"/>
  <c r="F40" i="2"/>
  <c r="F44" i="2"/>
  <c r="F45" i="2"/>
  <c r="F47" i="2"/>
  <c r="F49" i="2"/>
  <c r="F54" i="2"/>
  <c r="F55" i="2"/>
  <c r="F56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E61" i="2"/>
  <c r="D61" i="2"/>
  <c r="G61" i="2" s="1"/>
  <c r="D60" i="2"/>
  <c r="G60" i="2" s="1"/>
  <c r="E60" i="2"/>
  <c r="D59" i="2"/>
  <c r="G59" i="2" s="1"/>
  <c r="E59" i="2"/>
  <c r="D58" i="2"/>
  <c r="G58" i="2" s="1"/>
  <c r="E58" i="2"/>
  <c r="D57" i="2"/>
  <c r="G57" i="2" s="1"/>
  <c r="E57" i="2"/>
  <c r="E54" i="2"/>
  <c r="D54" i="2"/>
  <c r="E53" i="2"/>
  <c r="D53" i="2"/>
  <c r="G53" i="2" s="1"/>
  <c r="E52" i="2"/>
  <c r="D52" i="2"/>
  <c r="G52" i="2" s="1"/>
  <c r="C52" i="2"/>
  <c r="F52" i="2" s="1"/>
  <c r="C50" i="2"/>
  <c r="F50" i="2" s="1"/>
  <c r="E50" i="2"/>
  <c r="D50" i="2"/>
  <c r="G50" i="2" s="1"/>
  <c r="D48" i="2"/>
  <c r="G48" i="2" s="1"/>
  <c r="E48" i="2"/>
  <c r="D46" i="2"/>
  <c r="G46" i="2" s="1"/>
  <c r="E46" i="2"/>
  <c r="E41" i="2"/>
  <c r="D41" i="2"/>
  <c r="G41" i="2" s="1"/>
  <c r="E36" i="2"/>
  <c r="D36" i="2"/>
  <c r="G36" i="2" s="1"/>
  <c r="D35" i="2"/>
  <c r="G35" i="2" s="1"/>
  <c r="C35" i="2"/>
  <c r="F35" i="2" s="1"/>
  <c r="E31" i="2"/>
  <c r="E32" i="2" s="1"/>
  <c r="D31" i="2"/>
  <c r="D32" i="2" s="1"/>
  <c r="G32" i="2" s="1"/>
  <c r="C31" i="2"/>
  <c r="C32" i="2" s="1"/>
  <c r="F32" i="2" s="1"/>
  <c r="E30" i="2"/>
  <c r="D30" i="2"/>
  <c r="G30" i="2" s="1"/>
  <c r="E29" i="2"/>
  <c r="D29" i="2"/>
  <c r="G29" i="2" s="1"/>
  <c r="C29" i="2"/>
  <c r="F29" i="2" s="1"/>
  <c r="E28" i="2"/>
  <c r="D28" i="2"/>
  <c r="D25" i="2"/>
  <c r="G25" i="2" s="1"/>
  <c r="E25" i="2"/>
  <c r="E23" i="2"/>
  <c r="D23" i="2"/>
  <c r="G23" i="2" s="1"/>
  <c r="D20" i="2"/>
  <c r="G20" i="2" s="1"/>
  <c r="E20" i="2"/>
  <c r="D19" i="2"/>
  <c r="G19" i="2" s="1"/>
  <c r="E19" i="2"/>
  <c r="D18" i="2"/>
  <c r="G18" i="2" s="1"/>
  <c r="E18" i="2"/>
  <c r="C17" i="2"/>
  <c r="F17" i="2" s="1"/>
  <c r="E17" i="2"/>
  <c r="D17" i="2"/>
  <c r="G17" i="2" s="1"/>
  <c r="D16" i="2"/>
  <c r="G16" i="2" s="1"/>
  <c r="E16" i="2"/>
  <c r="E15" i="2"/>
  <c r="D15" i="2"/>
  <c r="E26" i="2"/>
  <c r="E11" i="2" s="1"/>
  <c r="D26" i="2"/>
  <c r="D11" i="2" s="1"/>
  <c r="G11" i="2" s="1"/>
  <c r="E9" i="2"/>
  <c r="D9" i="2"/>
  <c r="G9" i="2" s="1"/>
  <c r="E8" i="2"/>
  <c r="D8" i="2"/>
  <c r="G8" i="2" s="1"/>
  <c r="C8" i="2"/>
  <c r="F8" i="2" s="1"/>
  <c r="C61" i="2"/>
  <c r="F61" i="2" s="1"/>
  <c r="C60" i="2"/>
  <c r="F60" i="2" s="1"/>
  <c r="C59" i="2"/>
  <c r="F59" i="2" s="1"/>
  <c r="C57" i="2"/>
  <c r="F57" i="2" s="1"/>
  <c r="C54" i="2"/>
  <c r="C53" i="2"/>
  <c r="F53" i="2" s="1"/>
  <c r="C48" i="2"/>
  <c r="F48" i="2" s="1"/>
  <c r="C46" i="2"/>
  <c r="F46" i="2" s="1"/>
  <c r="C20" i="2"/>
  <c r="F20" i="2" s="1"/>
  <c r="C41" i="2"/>
  <c r="F41" i="2" s="1"/>
  <c r="C36" i="2"/>
  <c r="F36" i="2" s="1"/>
  <c r="C25" i="2"/>
  <c r="F25" i="2" s="1"/>
  <c r="C23" i="2"/>
  <c r="F23" i="2" s="1"/>
  <c r="C19" i="2"/>
  <c r="F19" i="2" s="1"/>
  <c r="C18" i="2"/>
  <c r="F18" i="2" s="1"/>
  <c r="C16" i="2"/>
  <c r="F16" i="2" s="1"/>
  <c r="C15" i="2"/>
  <c r="C26" i="2"/>
  <c r="F26" i="2" s="1"/>
  <c r="C10" i="2"/>
  <c r="C9" i="2"/>
  <c r="F9" i="2" s="1"/>
  <c r="C58" i="2"/>
  <c r="F58" i="2" s="1"/>
  <c r="C30" i="2"/>
  <c r="F30" i="2" s="1"/>
  <c r="C28" i="2"/>
  <c r="F28" i="2" s="1"/>
  <c r="L532" i="1"/>
  <c r="L526" i="1"/>
  <c r="L519" i="1"/>
  <c r="L514" i="1"/>
  <c r="L509" i="1"/>
  <c r="L504" i="1"/>
  <c r="L499" i="1"/>
  <c r="L494" i="1"/>
  <c r="L489" i="1"/>
  <c r="L484" i="1"/>
  <c r="L479" i="1"/>
  <c r="L474" i="1"/>
  <c r="L469" i="1"/>
  <c r="L464" i="1"/>
  <c r="L459" i="1"/>
  <c r="L454" i="1"/>
  <c r="L445" i="1"/>
  <c r="L427" i="1"/>
  <c r="L421" i="1"/>
  <c r="L411" i="1"/>
  <c r="L406" i="1"/>
  <c r="L400" i="1"/>
  <c r="L395" i="1"/>
  <c r="L389" i="1"/>
  <c r="L377" i="1"/>
  <c r="L369" i="1"/>
  <c r="L364" i="1"/>
  <c r="L357" i="1"/>
  <c r="L346" i="1"/>
  <c r="L341" i="1"/>
  <c r="L332" i="1"/>
  <c r="L325" i="1"/>
  <c r="L313" i="1"/>
  <c r="L308" i="1"/>
  <c r="L303" i="1"/>
  <c r="L294" i="1"/>
  <c r="L286" i="1"/>
  <c r="L280" i="1"/>
  <c r="L275" i="1"/>
  <c r="L266" i="1"/>
  <c r="L259" i="1"/>
  <c r="L250" i="1"/>
  <c r="L241" i="1"/>
  <c r="L236" i="1"/>
  <c r="L230" i="1"/>
  <c r="L225" i="1"/>
  <c r="L218" i="1"/>
  <c r="L205" i="1"/>
  <c r="L190" i="1"/>
  <c r="L181" i="1"/>
  <c r="L176" i="1"/>
  <c r="L165" i="1"/>
  <c r="L160" i="1"/>
  <c r="L155" i="1"/>
  <c r="L134" i="1"/>
  <c r="L127" i="1"/>
  <c r="L122" i="1"/>
  <c r="L114" i="1"/>
  <c r="L103" i="1"/>
  <c r="L96" i="1"/>
  <c r="L88" i="1"/>
  <c r="L77" i="1"/>
  <c r="L72" i="1"/>
  <c r="L64" i="1"/>
  <c r="L55" i="1"/>
  <c r="L43" i="1"/>
  <c r="L38" i="1"/>
  <c r="L28" i="1"/>
  <c r="L18" i="1"/>
  <c r="L11" i="1"/>
  <c r="G31" i="2" l="1"/>
  <c r="G26" i="2"/>
  <c r="D42" i="2"/>
  <c r="G42" i="2" s="1"/>
  <c r="G28" i="2"/>
  <c r="G77" i="2" s="1"/>
  <c r="G78" i="2" s="1"/>
  <c r="G79" i="2" s="1"/>
  <c r="C11" i="2"/>
  <c r="F11" i="2" s="1"/>
  <c r="F31" i="2"/>
  <c r="D43" i="2"/>
  <c r="G43" i="2" s="1"/>
  <c r="D76" i="2"/>
  <c r="G76" i="2" s="1"/>
  <c r="D51" i="2"/>
  <c r="G51" i="2" s="1"/>
  <c r="E42" i="2"/>
  <c r="E51" i="2"/>
  <c r="C51" i="2"/>
  <c r="F51" i="2" s="1"/>
  <c r="C42" i="2"/>
  <c r="F42" i="2" s="1"/>
  <c r="C43" i="2" l="1"/>
  <c r="F43" i="2" s="1"/>
  <c r="C76" i="2"/>
  <c r="F76" i="2" s="1"/>
  <c r="F77" i="2" s="1"/>
  <c r="F78" i="2" s="1"/>
  <c r="F79" i="2" s="1"/>
  <c r="E43" i="2"/>
  <c r="E76" i="2"/>
</calcChain>
</file>

<file path=xl/comments1.xml><?xml version="1.0" encoding="utf-8"?>
<comments xmlns="http://schemas.openxmlformats.org/spreadsheetml/2006/main">
  <authors>
    <author>DELVS</author>
  </authors>
  <commentList>
    <comment ref="C18" authorId="0" shapeId="0">
      <text>
        <r>
          <rPr>
            <b/>
            <sz val="9"/>
            <color indexed="81"/>
            <rFont val="Tahoma"/>
            <charset val="1"/>
          </rPr>
          <t>DELVS:</t>
        </r>
        <r>
          <rPr>
            <sz val="9"/>
            <color indexed="81"/>
            <rFont val="Tahoma"/>
            <charset val="1"/>
          </rPr>
          <t xml:space="preserve">
Moyenne de 3 conditions par actions
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DELVS:</t>
        </r>
        <r>
          <rPr>
            <sz val="9"/>
            <color indexed="81"/>
            <rFont val="Tahoma"/>
            <family val="2"/>
          </rPr>
          <t xml:space="preserve">
Moyenne de 2 contrats par employé</t>
        </r>
      </text>
    </comment>
    <comment ref="C36" authorId="0" shapeId="0">
      <text>
        <r>
          <rPr>
            <b/>
            <sz val="9"/>
            <color indexed="81"/>
            <rFont val="Tahoma"/>
            <family val="2"/>
          </rPr>
          <t>DELVS:</t>
        </r>
        <r>
          <rPr>
            <sz val="9"/>
            <color indexed="81"/>
            <rFont val="Tahoma"/>
            <family val="2"/>
          </rPr>
          <t xml:space="preserve">
Moyenne de 100 tickets par employé par an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DELVS:</t>
        </r>
        <r>
          <rPr>
            <sz val="9"/>
            <color indexed="81"/>
            <rFont val="Tahoma"/>
            <family val="2"/>
          </rPr>
          <t xml:space="preserve">
Somme des tables qui héritent de l'objet+ estimation de 200 tables customizées
</t>
        </r>
      </text>
    </comment>
  </commentList>
</comments>
</file>

<file path=xl/sharedStrings.xml><?xml version="1.0" encoding="utf-8"?>
<sst xmlns="http://schemas.openxmlformats.org/spreadsheetml/2006/main" count="2245" uniqueCount="736">
  <si>
    <t>Absences</t>
  </si>
  <si>
    <t>AccidentTravail</t>
  </si>
  <si>
    <t>Action</t>
  </si>
  <si>
    <t>AllocationsFam</t>
  </si>
  <si>
    <t>Category</t>
  </si>
  <si>
    <t>Champ</t>
  </si>
  <si>
    <t>ChequesRepas</t>
  </si>
  <si>
    <t>Classroom</t>
  </si>
  <si>
    <t>Classroom_has_Employe</t>
  </si>
  <si>
    <t>ComplementRemuneration</t>
  </si>
  <si>
    <t>Condition</t>
  </si>
  <si>
    <t>Contrat</t>
  </si>
  <si>
    <t>CotisationSpecifique</t>
  </si>
  <si>
    <t>Departement</t>
  </si>
  <si>
    <t>DocumentCategory</t>
  </si>
  <si>
    <t>Documents</t>
  </si>
  <si>
    <t>Employe</t>
  </si>
  <si>
    <t>Employe_has_Groupe</t>
  </si>
  <si>
    <t>Enfants</t>
  </si>
  <si>
    <t>EtatCivil</t>
  </si>
  <si>
    <t>Evaluation</t>
  </si>
  <si>
    <t>FichePaie</t>
  </si>
  <si>
    <t>Fonction</t>
  </si>
  <si>
    <t>Formations</t>
  </si>
  <si>
    <t>Formations_has_Skills</t>
  </si>
  <si>
    <t>GradeFonction</t>
  </si>
  <si>
    <t>Groupe</t>
  </si>
  <si>
    <t>Handicap</t>
  </si>
  <si>
    <t>HistoriqueStatut</t>
  </si>
  <si>
    <t>Horaire</t>
  </si>
  <si>
    <t>Lieu</t>
  </si>
  <si>
    <t>ModeCalculCR</t>
  </si>
  <si>
    <t>NotificationPointage</t>
  </si>
  <si>
    <t>Objectifs</t>
  </si>
  <si>
    <t>Objet</t>
  </si>
  <si>
    <t>Objet_has_Objet</t>
  </si>
  <si>
    <t>OperateurLogique</t>
  </si>
  <si>
    <t>OrganismeCheques</t>
  </si>
  <si>
    <t>Part</t>
  </si>
  <si>
    <t>Pauses</t>
  </si>
  <si>
    <t>Pauses_has_Horaire</t>
  </si>
  <si>
    <t>Plages</t>
  </si>
  <si>
    <t>Pointage</t>
  </si>
  <si>
    <t>Pointage_has_PrestationsJournee</t>
  </si>
  <si>
    <t>PrestationsJournee</t>
  </si>
  <si>
    <t>Request</t>
  </si>
  <si>
    <t>Rules</t>
  </si>
  <si>
    <t>SituationConjoint</t>
  </si>
  <si>
    <t>Skills</t>
  </si>
  <si>
    <t>Skills_has_Employe</t>
  </si>
  <si>
    <t>Solde</t>
  </si>
  <si>
    <t>SoldeHeures</t>
  </si>
  <si>
    <t>StatutPecunier</t>
  </si>
  <si>
    <t>Suspension</t>
  </si>
  <si>
    <t>TypeAbsence</t>
  </si>
  <si>
    <t>TypeAction</t>
  </si>
  <si>
    <t>TypeAllocation</t>
  </si>
  <si>
    <t>TypeChamps</t>
  </si>
  <si>
    <t>TypeComplement</t>
  </si>
  <si>
    <t>TypeCotisation</t>
  </si>
  <si>
    <t>TypeCotisationSociale</t>
  </si>
  <si>
    <t>TypeMoment</t>
  </si>
  <si>
    <t>TypePart</t>
  </si>
  <si>
    <t>TypePointage</t>
  </si>
  <si>
    <t>TypePrecompte</t>
  </si>
  <si>
    <t>TypeRegime</t>
  </si>
  <si>
    <t>TypeRequest</t>
  </si>
  <si>
    <t>Worklows</t>
  </si>
  <si>
    <t>Worklows_has_Objet</t>
  </si>
  <si>
    <t>Column name</t>
  </si>
  <si>
    <t>DataType</t>
  </si>
  <si>
    <t>PK</t>
  </si>
  <si>
    <t>NN</t>
  </si>
  <si>
    <t>UQ</t>
  </si>
  <si>
    <t>BIN</t>
  </si>
  <si>
    <t>UN</t>
  </si>
  <si>
    <t>ZF</t>
  </si>
  <si>
    <t>AI</t>
  </si>
  <si>
    <t>Default</t>
  </si>
  <si>
    <t>Comment</t>
  </si>
  <si>
    <t>INT</t>
  </si>
  <si>
    <t>✔</t>
  </si>
  <si>
    <t>Identifiant unique</t>
  </si>
  <si>
    <t>DATE</t>
  </si>
  <si>
    <t>Date du début de l'absence</t>
  </si>
  <si>
    <t>Date de fin de l'absence</t>
  </si>
  <si>
    <t>Lookup vers le type d'absence</t>
  </si>
  <si>
    <t>Date de création de l'absence</t>
  </si>
  <si>
    <t>Lookup vers l'employé</t>
  </si>
  <si>
    <t>Lookup vers le type de moment</t>
  </si>
  <si>
    <t>Objet_idObjet</t>
  </si>
  <si>
    <t>Lookup vers l'objet dont il est hérité.</t>
  </si>
  <si>
    <t>Identifiant unique.</t>
  </si>
  <si>
    <t>Lookup vers l'absence concernée.</t>
  </si>
  <si>
    <t>VARCHAR(45)</t>
  </si>
  <si>
    <t>Lien vers un document</t>
  </si>
  <si>
    <t>Date de l'accident.</t>
  </si>
  <si>
    <t>Identifiant unique de l'action</t>
  </si>
  <si>
    <t>Type de l'action (approuver, refuser, en attente)</t>
  </si>
  <si>
    <t>Lookup vers la règle</t>
  </si>
  <si>
    <t>Date de début (générée automatiquement)</t>
  </si>
  <si>
    <t>Date de fin (générée automatiquement)</t>
  </si>
  <si>
    <t>Employé assigné à l'action</t>
  </si>
  <si>
    <t>Groupe assigné à l'action</t>
  </si>
  <si>
    <t>Lookup vers le type d'allocations</t>
  </si>
  <si>
    <t>Date début de l'allocation</t>
  </si>
  <si>
    <t>Date de fin de l'allocation</t>
  </si>
  <si>
    <t>Date jusque laquelle la scolarité est attestée</t>
  </si>
  <si>
    <t>Lookup vers enfant</t>
  </si>
  <si>
    <t>REAL</t>
  </si>
  <si>
    <t>Montant de l'allocation</t>
  </si>
  <si>
    <t>Identifiant unique de l'objet</t>
  </si>
  <si>
    <t>VARCHAR(60)</t>
  </si>
  <si>
    <t>Nom de la catégorie. Doit être unique. (Index)</t>
  </si>
  <si>
    <t>Identifiant unique de la table</t>
  </si>
  <si>
    <t>Nom du champs (tel qu'il apparaitra dans un formulaire)</t>
  </si>
  <si>
    <t>Lookup vers le type de champs (int, char, bool,...)</t>
  </si>
  <si>
    <t>Lookup vers un objet</t>
  </si>
  <si>
    <t>Champs qui ser arempli dans le cas ou TypeChamps=int</t>
  </si>
  <si>
    <t>Champs qui ser arempli dans le cas ou TypeChamps=date</t>
  </si>
  <si>
    <t>TINYINT(1)</t>
  </si>
  <si>
    <t>Champs qui ser arempli dans le cas ou TypeChamps=Boolean</t>
  </si>
  <si>
    <t>VARCHAR(200)</t>
  </si>
  <si>
    <t>Champs qui ser arempli dans le cas ou TypeChamps=Texte</t>
  </si>
  <si>
    <t>Champs qui ser arempli dans le cas ou TypeChamps=Lookup</t>
  </si>
  <si>
    <t>Lookup vers le statut pécunier.</t>
  </si>
  <si>
    <t>Montant payé par l'employé</t>
  </si>
  <si>
    <t>Montant payé par l'employeur</t>
  </si>
  <si>
    <t>Lookup vers l'organisme de chèque repas (Sodexo, Ticket Restaurant,...)</t>
  </si>
  <si>
    <t>Lookup vers le mode de calcul de chèque repas.</t>
  </si>
  <si>
    <t>Lookup vers la formation</t>
  </si>
  <si>
    <t>Date de début</t>
  </si>
  <si>
    <t>Date de fin.</t>
  </si>
  <si>
    <t>Lookup vers le lieu où est donné le cours.</t>
  </si>
  <si>
    <t>Lookup vers le statut pécunier</t>
  </si>
  <si>
    <t>Label du complément</t>
  </si>
  <si>
    <t>Montant mensuel du complément de rémunération</t>
  </si>
  <si>
    <t>Code ONSS</t>
  </si>
  <si>
    <t>Lookup vers le type.</t>
  </si>
  <si>
    <t>Date de fin</t>
  </si>
  <si>
    <t>Valeur du champs à contrôler (récupéré automatiquement)</t>
  </si>
  <si>
    <t>LookUp vers un operateur logique</t>
  </si>
  <si>
    <t>Valeur à comparer</t>
  </si>
  <si>
    <t>Lookup vers une règle</t>
  </si>
  <si>
    <t>Identifiant Unique</t>
  </si>
  <si>
    <t>Date de la signature du contrat</t>
  </si>
  <si>
    <t>Lien vers le document</t>
  </si>
  <si>
    <t>Lookup vers la fonction</t>
  </si>
  <si>
    <t>Lookup vers le type de cotisation</t>
  </si>
  <si>
    <t>Lookup vers le type de part</t>
  </si>
  <si>
    <t>Lookup vers la part (détails)</t>
  </si>
  <si>
    <t>Looku vers l'organisme</t>
  </si>
  <si>
    <t>Date de l'affiliation</t>
  </si>
  <si>
    <t>Nom du département</t>
  </si>
  <si>
    <t>Lookup vers la table employé</t>
  </si>
  <si>
    <t>Lookup vers l'objet dont il hérite</t>
  </si>
  <si>
    <t>Nom du type de document (Pensions,etat civil, domicile,...)</t>
  </si>
  <si>
    <t>Lookup vers la catégorie du document</t>
  </si>
  <si>
    <t>Nom du document</t>
  </si>
  <si>
    <t>Adresse vers le document</t>
  </si>
  <si>
    <t>Prénom de l'employé</t>
  </si>
  <si>
    <t>Nom de l'employé</t>
  </si>
  <si>
    <t>Numéro de registre national de l'employé</t>
  </si>
  <si>
    <t>Sexe de l'employé (F,M)</t>
  </si>
  <si>
    <t>Lookup vers l'état civil de l'employé</t>
  </si>
  <si>
    <t>Date de naissance de l'employé</t>
  </si>
  <si>
    <t>Nationalité de l'employé</t>
  </si>
  <si>
    <t>Adresse de l'employé (Rue + numéro)</t>
  </si>
  <si>
    <t>Code postal</t>
  </si>
  <si>
    <t>Localité</t>
  </si>
  <si>
    <t>Numéro du compte bancaire de l'employé</t>
  </si>
  <si>
    <t>Lookup vers la situation du conjoint.</t>
  </si>
  <si>
    <t>Numéro de téléphone de l'employé</t>
  </si>
  <si>
    <t>Adresse email de l'employé</t>
  </si>
  <si>
    <t>Lookup sur le statut pécunier.</t>
  </si>
  <si>
    <t>Lookup sur employé pour le role de Manager.</t>
  </si>
  <si>
    <t>Lookup vers l'objet dont il hérite.</t>
  </si>
  <si>
    <t>Nom de l'enfant</t>
  </si>
  <si>
    <t>Prénom de l'enfant</t>
  </si>
  <si>
    <t>Sexe de l'enfant (F,M)</t>
  </si>
  <si>
    <t>Date de naissance de l'enfant</t>
  </si>
  <si>
    <t>Numéro de registre national</t>
  </si>
  <si>
    <t>Si l'enfant est à charge (booléen)</t>
  </si>
  <si>
    <t>Label (Marié(e), Célibataire, Cohabitant(e), Veuf(ve),...)</t>
  </si>
  <si>
    <t>Description de la période pour laquelle l'évaluation est réalisée (semestre, Q3, année,...)</t>
  </si>
  <si>
    <t>Date à laquelle l'évaluation a été réalisée</t>
  </si>
  <si>
    <t>Résultat de l'évaluation</t>
  </si>
  <si>
    <t>Lookup vesr l'objet dont il hérite</t>
  </si>
  <si>
    <t>Lookup vers employé</t>
  </si>
  <si>
    <t>Date à laquelle la fiche a été émise</t>
  </si>
  <si>
    <t>Début de la période couverte par la fiche</t>
  </si>
  <si>
    <t>Fin de la période couverte par la fiche</t>
  </si>
  <si>
    <t>Montant mensuel brut</t>
  </si>
  <si>
    <t>Retenue ONNS</t>
  </si>
  <si>
    <t>Montant imposable</t>
  </si>
  <si>
    <t>Précompte professionnel</t>
  </si>
  <si>
    <t>Cotisations sociales</t>
  </si>
  <si>
    <t>Montant net perçu</t>
  </si>
  <si>
    <t>Nom de la fonction</t>
  </si>
  <si>
    <t>Début de la fonction</t>
  </si>
  <si>
    <t>Fin de la fonction</t>
  </si>
  <si>
    <t>Lookup vers le type de régime</t>
  </si>
  <si>
    <t>Nombre total d'heures à prester par semaine</t>
  </si>
  <si>
    <t>Nombre total de jours de travail par semaine</t>
  </si>
  <si>
    <t>Lookup vers le département</t>
  </si>
  <si>
    <t>Nom de la formation</t>
  </si>
  <si>
    <t>Si la formation est donne droit à un certificat (T,F)</t>
  </si>
  <si>
    <t>Eventuels prérequis.</t>
  </si>
  <si>
    <t>Nom du grade / de la fonction</t>
  </si>
  <si>
    <t>Montant du barême</t>
  </si>
  <si>
    <t>Nom du groupe (choisi par utilisateur)</t>
  </si>
  <si>
    <t>Nom du handicap</t>
  </si>
  <si>
    <t>Date depuis laquelle l'handicap est reconnu</t>
  </si>
  <si>
    <t>Date jusqu'à laquelle l'handicap est reconnu</t>
  </si>
  <si>
    <t>Pourcentage du handicap</t>
  </si>
  <si>
    <t>Lookup vers la table enfant</t>
  </si>
  <si>
    <t>Etat du statut</t>
  </si>
  <si>
    <t>Date du statut</t>
  </si>
  <si>
    <t>Lookup vers l'absence</t>
  </si>
  <si>
    <t>VARCHAR(250)</t>
  </si>
  <si>
    <t>Court commentaire</t>
  </si>
  <si>
    <t>Lookup vers les plages horaires.</t>
  </si>
  <si>
    <t>Lieu dit</t>
  </si>
  <si>
    <t>Adresse du lieu (rue+numéro+boite)</t>
  </si>
  <si>
    <t>Localité du lieu</t>
  </si>
  <si>
    <t>Pays du lieu</t>
  </si>
  <si>
    <t>Nom du mode de calcul (par tranche de 4h, de 8h,...)</t>
  </si>
  <si>
    <t>Lookup vers la prestation</t>
  </si>
  <si>
    <t>VARCHAR(300)</t>
  </si>
  <si>
    <t>Zone de commentaire</t>
  </si>
  <si>
    <t>Nom de l'objectif</t>
  </si>
  <si>
    <t>Cible visée par l'objectif (Key Performance Indicator)</t>
  </si>
  <si>
    <t>Résultat de l'objetif</t>
  </si>
  <si>
    <t>Lookup vers l'évaluation</t>
  </si>
  <si>
    <t>Identifiant unique d'un objet</t>
  </si>
  <si>
    <t>Nom de l'objet choisi par l'utilisateur lors de la création d'un record.</t>
  </si>
  <si>
    <t>Dat ed ecréation de l'objet (date à laquelle il a été enregistré dans la base de donnée). Généré automatiquement lors de l'ajout.</t>
  </si>
  <si>
    <t>Date du dernier update du record. Généré automatiquement.</t>
  </si>
  <si>
    <t>Lookup vers la catégorie de l'objet.</t>
  </si>
  <si>
    <t>Définit sur si c'est un objet personnalisé ou non.</t>
  </si>
  <si>
    <t>Label opérateur (égal, plus grand que, plus petit que, différent de,...) Doit être unique</t>
  </si>
  <si>
    <t>Nom de l'organisme</t>
  </si>
  <si>
    <t>Adresse de l'organisme (rue+numéro+boite)</t>
  </si>
  <si>
    <t>Personne de contact</t>
  </si>
  <si>
    <t>Lien vers le contrat</t>
  </si>
  <si>
    <t>Adresse email de la personne de contact</t>
  </si>
  <si>
    <t>Numéro de téléphone de la personne de contact</t>
  </si>
  <si>
    <t>Taux de la part</t>
  </si>
  <si>
    <t>Montant mensuel</t>
  </si>
  <si>
    <t>Titre de la pause</t>
  </si>
  <si>
    <t>TIME</t>
  </si>
  <si>
    <t>Durée minimum de la pause</t>
  </si>
  <si>
    <t>Heure à laquelle la pause peut commencer</t>
  </si>
  <si>
    <t>Heure maximum à laquelle la pause doit se terminer.</t>
  </si>
  <si>
    <t>Champs définissant si la pause est obligatoire ou non.</t>
  </si>
  <si>
    <t>Nom de la plage horaire</t>
  </si>
  <si>
    <t>Heure à partir de laquelle le pointage est pros en compte au matin</t>
  </si>
  <si>
    <t>Heure jusqu'à laquelle le pointage est pros en compte au matin</t>
  </si>
  <si>
    <t>Heure minimum à partr de laquelle l'employé peut quitter son lieu de travail</t>
  </si>
  <si>
    <t>Heure maximum jusqu'à laquelle l'employé peut quitter son lieu de travail</t>
  </si>
  <si>
    <t>Heure minimum pour débuter la pause midi</t>
  </si>
  <si>
    <t>Heure maximum pour terminer la pause midi.</t>
  </si>
  <si>
    <t>Identifiant unique du pointage</t>
  </si>
  <si>
    <t>Heure du pointage</t>
  </si>
  <si>
    <t>Lookup vers le type de pointage (Entrée/sortie)</t>
  </si>
  <si>
    <t>Lookup vers l'employé.</t>
  </si>
  <si>
    <t>Date de la prestation.</t>
  </si>
  <si>
    <t>Calcul en heure de la journée prestée. (Généré automatiquement)</t>
  </si>
  <si>
    <t>Lookup vers le solde d'heures concerné.</t>
  </si>
  <si>
    <t>Date de création de la requête</t>
  </si>
  <si>
    <t>Lookup vers le type de requete.</t>
  </si>
  <si>
    <t>Zone de commentaires</t>
  </si>
  <si>
    <t>Lookup vers une prestation</t>
  </si>
  <si>
    <t>Date à laquelle le manager a validé la requête (généré automatiquement)</t>
  </si>
  <si>
    <t>Date à laquelle la requête a été validée par un rôle de Ressources Humaines</t>
  </si>
  <si>
    <t>Lookup vers l'objet</t>
  </si>
  <si>
    <t>Identifiant unique de la règle</t>
  </si>
  <si>
    <t>Nom de la règle (choisie par l'utilisateur)</t>
  </si>
  <si>
    <t>Lookup vers le workflow</t>
  </si>
  <si>
    <t>Label de la situation</t>
  </si>
  <si>
    <t>Nom de la compétence</t>
  </si>
  <si>
    <t>Identifiant unique pour le solde</t>
  </si>
  <si>
    <t>Nombre de jours octroyés.</t>
  </si>
  <si>
    <t>Nombre de jours pris à la date d'aujourd'hui. Champs généré automatiquement.</t>
  </si>
  <si>
    <t>Nombre de jours total avec les éventuels reports</t>
  </si>
  <si>
    <t>Nomre de jours qui ont été reportés</t>
  </si>
  <si>
    <t>LookUp vers le type d'absence</t>
  </si>
  <si>
    <t>Total du solde d'heures.</t>
  </si>
  <si>
    <t>Lookup vers le grade</t>
  </si>
  <si>
    <t>Niveau de la fonction</t>
  </si>
  <si>
    <t>Année d'ancienneté (arrondi à l'unité inférieure)</t>
  </si>
  <si>
    <t>Taux de majoration</t>
  </si>
  <si>
    <t>Montant du traitement fixe.</t>
  </si>
  <si>
    <t>Lookup vers le type de cotisation sociale</t>
  </si>
  <si>
    <t>Caisse de pension</t>
  </si>
  <si>
    <t>Retenue pour la pension</t>
  </si>
  <si>
    <t>Numéro d'affiliation sociale</t>
  </si>
  <si>
    <t>Montant allocations</t>
  </si>
  <si>
    <t>Lookup vers le type de précompte</t>
  </si>
  <si>
    <t>Le pourcentage du précompte</t>
  </si>
  <si>
    <t>Montant d'un éventuel impôt supplémentaire.</t>
  </si>
  <si>
    <t>Label de la suspension</t>
  </si>
  <si>
    <t>Date de début de la suspension</t>
  </si>
  <si>
    <t>Date de la fin de la suspension</t>
  </si>
  <si>
    <t>Motif de la suspension</t>
  </si>
  <si>
    <t>Lookup vers le contrat</t>
  </si>
  <si>
    <t>Label du Type d'absence (Congé régulier, Récupération, Maladie,...)</t>
  </si>
  <si>
    <t>Nom del'action (Refuser, accepter, mise en attente,...)</t>
  </si>
  <si>
    <t>Nom du type d'allocation</t>
  </si>
  <si>
    <t>Identifiant unique pour le type de champs</t>
  </si>
  <si>
    <t>Nom du type d echamps (int, texte, lookup, boolean,...)</t>
  </si>
  <si>
    <t>Nom du type de complément</t>
  </si>
  <si>
    <t>Nom du type de cotisation</t>
  </si>
  <si>
    <t>Label du type de cotisation</t>
  </si>
  <si>
    <t>AM, PM, All day.</t>
  </si>
  <si>
    <t>Personnelle, Patronale, les deux...</t>
  </si>
  <si>
    <t>Entree/sortie</t>
  </si>
  <si>
    <t>Nom du type de précompte</t>
  </si>
  <si>
    <t>Label du type de régime (temps plein, mi-temps, temps partiel,...)</t>
  </si>
  <si>
    <t>Nom du type de requête</t>
  </si>
  <si>
    <t>Identifiant pour le workflow</t>
  </si>
  <si>
    <t>Nom du workflow (choisi par utilisateur)</t>
  </si>
  <si>
    <t>Date de création du workflow (généré automatiquement lors de la création du record)</t>
  </si>
  <si>
    <t>Date de la dernière mise à jour du record (généré automatiquement)</t>
  </si>
  <si>
    <t>Taille (bytes)</t>
  </si>
  <si>
    <t>Taille (Bytes)</t>
  </si>
  <si>
    <t>CHAR(1)</t>
  </si>
  <si>
    <t xml:space="preserve">Ancienneté en année </t>
  </si>
  <si>
    <t>Tables</t>
  </si>
  <si>
    <t>Taille Maximum Par record (Bytes)</t>
  </si>
  <si>
    <t>Nombre moyen PE</t>
  </si>
  <si>
    <t>Nombre d'employé:</t>
  </si>
  <si>
    <t>Nombre de femmes:</t>
  </si>
  <si>
    <t>Nombre moyen d'enfants:</t>
  </si>
  <si>
    <t>Nombre moyen de jours de maladie</t>
  </si>
  <si>
    <t>Nombre de jours de congé octroyés</t>
  </si>
  <si>
    <t>Conservation des données (années)</t>
  </si>
  <si>
    <t>Nombre moyen d'enfants par femme</t>
  </si>
  <si>
    <t>Nombre de fonction différentes par employé sur une carrière:</t>
  </si>
  <si>
    <t>Nombre moyen de formations annuel par employé:</t>
  </si>
  <si>
    <t>Jours d'absence par an par employé:</t>
  </si>
  <si>
    <t xml:space="preserve">Indice d'accident: </t>
  </si>
  <si>
    <t>Estimation du nombre d'actions:</t>
  </si>
  <si>
    <t xml:space="preserve">Nombre Moyen GE </t>
  </si>
  <si>
    <t>Nombre Moyen MP</t>
  </si>
  <si>
    <t>PE Estimation DB</t>
  </si>
  <si>
    <t>Total Bytes</t>
  </si>
  <si>
    <t>Total GigaBytes</t>
  </si>
  <si>
    <t>GE Estimation DB</t>
  </si>
  <si>
    <t>Total Tera:</t>
  </si>
  <si>
    <t>ME Estimation DB</t>
  </si>
  <si>
    <t>Marge 5% Tera:</t>
  </si>
  <si>
    <t>absence</t>
  </si>
  <si>
    <t>a_id_absence</t>
  </si>
  <si>
    <t>a_debut_date</t>
  </si>
  <si>
    <t>a_fin_date</t>
  </si>
  <si>
    <t>a_type</t>
  </si>
  <si>
    <t>a_creation_date</t>
  </si>
  <si>
    <t>a_employe</t>
  </si>
  <si>
    <t>a_moment</t>
  </si>
  <si>
    <t>accident_travail</t>
  </si>
  <si>
    <t>acc_id_accident_travail</t>
  </si>
  <si>
    <t>acc_absence</t>
  </si>
  <si>
    <t>acc_document</t>
  </si>
  <si>
    <t>acc_date</t>
  </si>
  <si>
    <t>action</t>
  </si>
  <si>
    <t>ac_id_action</t>
  </si>
  <si>
    <t>ac_type_action</t>
  </si>
  <si>
    <t>ac_regle</t>
  </si>
  <si>
    <t>ac_date_debut</t>
  </si>
  <si>
    <t>ac_date_fin</t>
  </si>
  <si>
    <t>ac_employe</t>
  </si>
  <si>
    <t>ac_groupe</t>
  </si>
  <si>
    <t>allocations_familiales</t>
  </si>
  <si>
    <t>al_id_allocations</t>
  </si>
  <si>
    <t>al_type</t>
  </si>
  <si>
    <t>al_date_debut</t>
  </si>
  <si>
    <t>al_date_fin</t>
  </si>
  <si>
    <t>al_scolarite_attestee_jusque</t>
  </si>
  <si>
    <t>al_enfant</t>
  </si>
  <si>
    <t>al_montant</t>
  </si>
  <si>
    <t>categorie</t>
  </si>
  <si>
    <t>c_id_categorie</t>
  </si>
  <si>
    <t>c_label</t>
  </si>
  <si>
    <t>champ</t>
  </si>
  <si>
    <t>ch_id_champ</t>
  </si>
  <si>
    <t>ch_label_champ</t>
  </si>
  <si>
    <t>ch_type_champ</t>
  </si>
  <si>
    <t>ch_objet</t>
  </si>
  <si>
    <t>ch_valeur_int</t>
  </si>
  <si>
    <t>ch_valeur_date</t>
  </si>
  <si>
    <t>ch_valeur_bool</t>
  </si>
  <si>
    <t>ch_valeur_txt</t>
  </si>
  <si>
    <t>ch_valeur_lookup</t>
  </si>
  <si>
    <t>cheques_repas</t>
  </si>
  <si>
    <t>cr_id_cheques_repas</t>
  </si>
  <si>
    <t>cr_statut_pecunier</t>
  </si>
  <si>
    <t>cr_part_employe</t>
  </si>
  <si>
    <t>cr_part_patronale</t>
  </si>
  <si>
    <t>cr_organisme</t>
  </si>
  <si>
    <t>cr_mode_calcul</t>
  </si>
  <si>
    <t>classroom</t>
  </si>
  <si>
    <t>cl_id_classroom</t>
  </si>
  <si>
    <t>cl_formation</t>
  </si>
  <si>
    <t>cl_date_debut</t>
  </si>
  <si>
    <t>cl_date_fin</t>
  </si>
  <si>
    <t>cl_lieu</t>
  </si>
  <si>
    <t>classroom_has_employe</t>
  </si>
  <si>
    <t>cl_classroom_idClassroom</t>
  </si>
  <si>
    <t>cl_employe_idEmploye</t>
  </si>
  <si>
    <t>complement_remuneration</t>
  </si>
  <si>
    <t>cr_id_complement_remuneration</t>
  </si>
  <si>
    <t>cr_label</t>
  </si>
  <si>
    <t>cr_montant_mensuel</t>
  </si>
  <si>
    <t>cr_code_onss</t>
  </si>
  <si>
    <t>cr_type</t>
  </si>
  <si>
    <t>cr_date-debut</t>
  </si>
  <si>
    <t>cr_date_fin</t>
  </si>
  <si>
    <t>condition</t>
  </si>
  <si>
    <t>c_id_condition</t>
  </si>
  <si>
    <t>c_champs</t>
  </si>
  <si>
    <t>c_operateur</t>
  </si>
  <si>
    <t>c_valeur</t>
  </si>
  <si>
    <t>c_regle</t>
  </si>
  <si>
    <t>contrat</t>
  </si>
  <si>
    <t>co_id_contrat</t>
  </si>
  <si>
    <t>co_date_signature</t>
  </si>
  <si>
    <t>co_lien_doc</t>
  </si>
  <si>
    <t>co_fonction</t>
  </si>
  <si>
    <t>cotisation_specifique</t>
  </si>
  <si>
    <t>cs_id_cotisation_specifique</t>
  </si>
  <si>
    <t>cs_type</t>
  </si>
  <si>
    <t>cs_type_part</t>
  </si>
  <si>
    <t>cs_part_personnelle</t>
  </si>
  <si>
    <t>cs_part_employe</t>
  </si>
  <si>
    <t>cs_organisme</t>
  </si>
  <si>
    <t>cs_date_affiliation</t>
  </si>
  <si>
    <t>cs_statut_pecunier</t>
  </si>
  <si>
    <t>departement</t>
  </si>
  <si>
    <t>d_id_departement</t>
  </si>
  <si>
    <t>d_label</t>
  </si>
  <si>
    <t>d_responsable</t>
  </si>
  <si>
    <t>d_backup</t>
  </si>
  <si>
    <t>objet_id_objet</t>
  </si>
  <si>
    <t>document_categorie</t>
  </si>
  <si>
    <t>dc_id_document_category</t>
  </si>
  <si>
    <t>dc_label</t>
  </si>
  <si>
    <t>documents</t>
  </si>
  <si>
    <t>do_id_documents</t>
  </si>
  <si>
    <t>do_categorie</t>
  </si>
  <si>
    <t>do_label</t>
  </si>
  <si>
    <t>do_lien</t>
  </si>
  <si>
    <t>employe</t>
  </si>
  <si>
    <t>e_id_employe</t>
  </si>
  <si>
    <t>e_prenom</t>
  </si>
  <si>
    <t>e_nom</t>
  </si>
  <si>
    <t>e_num_registre_nat</t>
  </si>
  <si>
    <t>e_sexe</t>
  </si>
  <si>
    <t>e_etat_civil</t>
  </si>
  <si>
    <t>e_date_naissance</t>
  </si>
  <si>
    <t>e_nationalite</t>
  </si>
  <si>
    <t>e_adresse</t>
  </si>
  <si>
    <t>e_code_postal</t>
  </si>
  <si>
    <t>e_localite</t>
  </si>
  <si>
    <t>e_numero_bancaire</t>
  </si>
  <si>
    <t>e_situation_conjoint</t>
  </si>
  <si>
    <t>e_numero_telephone</t>
  </si>
  <si>
    <t>e_email</t>
  </si>
  <si>
    <t>e_statut_pecunier</t>
  </si>
  <si>
    <t>e_manager</t>
  </si>
  <si>
    <t>employe_has_documents</t>
  </si>
  <si>
    <t>ed_employe_id_employe</t>
  </si>
  <si>
    <t>ed_documents_id_documents</t>
  </si>
  <si>
    <t>employe_has_groupe</t>
  </si>
  <si>
    <t>eg_employe_id_employe</t>
  </si>
  <si>
    <t>eg_groupe_id_groupe</t>
  </si>
  <si>
    <t>enfant</t>
  </si>
  <si>
    <t>en_id_enfant</t>
  </si>
  <si>
    <t>en_nom</t>
  </si>
  <si>
    <t>en_prenom</t>
  </si>
  <si>
    <t>en_sexe</t>
  </si>
  <si>
    <t>en_date_naissance</t>
  </si>
  <si>
    <t>en_num_registre_nat</t>
  </si>
  <si>
    <t>en_fiscalement_a_charge</t>
  </si>
  <si>
    <t>en_employe</t>
  </si>
  <si>
    <t>etat_civil</t>
  </si>
  <si>
    <t>ec_id_etat_civil</t>
  </si>
  <si>
    <t>ec_label</t>
  </si>
  <si>
    <t>evaluation</t>
  </si>
  <si>
    <t>ev_id_evaluation</t>
  </si>
  <si>
    <t>ev_periode</t>
  </si>
  <si>
    <t>ev_date_realisation</t>
  </si>
  <si>
    <t>ev_employe</t>
  </si>
  <si>
    <t>ev_resultat</t>
  </si>
  <si>
    <t>fiche_paie</t>
  </si>
  <si>
    <t>fp_id_fiche_paie</t>
  </si>
  <si>
    <t>fp_employe</t>
  </si>
  <si>
    <t>fp_date_emission</t>
  </si>
  <si>
    <t>fp_debut_periode</t>
  </si>
  <si>
    <t>fp_fin_periode</t>
  </si>
  <si>
    <t>fp_brut</t>
  </si>
  <si>
    <t>fp_retenue_onss</t>
  </si>
  <si>
    <t>fp_imposable</t>
  </si>
  <si>
    <t>fp_precompte_professionnel</t>
  </si>
  <si>
    <t>fp_cotisation_specifique</t>
  </si>
  <si>
    <t>fp_net_total</t>
  </si>
  <si>
    <t>fp_anciennete</t>
  </si>
  <si>
    <t>fonction</t>
  </si>
  <si>
    <t>f_id_fonction</t>
  </si>
  <si>
    <t>f_label</t>
  </si>
  <si>
    <t>f_date_debut</t>
  </si>
  <si>
    <t>f_date_fin</t>
  </si>
  <si>
    <t>f_type_regime</t>
  </si>
  <si>
    <t>f_heures_sem</t>
  </si>
  <si>
    <t>f_jours_sem</t>
  </si>
  <si>
    <t>f_employe</t>
  </si>
  <si>
    <t>f_departement</t>
  </si>
  <si>
    <t>formation</t>
  </si>
  <si>
    <t>fo_id_formation</t>
  </si>
  <si>
    <t>fo_label</t>
  </si>
  <si>
    <t>fo_certification</t>
  </si>
  <si>
    <t>fo_prerequis</t>
  </si>
  <si>
    <t>formation_has_skills</t>
  </si>
  <si>
    <t>fs_formations_id_formation</t>
  </si>
  <si>
    <t>fs_skills_id_skills</t>
  </si>
  <si>
    <t>grade_fonction</t>
  </si>
  <si>
    <t>gf_id_grade_fonction</t>
  </si>
  <si>
    <t>gf_label</t>
  </si>
  <si>
    <t>gf_bareme</t>
  </si>
  <si>
    <t>groupe</t>
  </si>
  <si>
    <t>g_id_groupe</t>
  </si>
  <si>
    <t>g_label</t>
  </si>
  <si>
    <t>handicap</t>
  </si>
  <si>
    <t>h_id_handicap</t>
  </si>
  <si>
    <t>h_label</t>
  </si>
  <si>
    <t>h_reconnu_depuis</t>
  </si>
  <si>
    <t>h_jusque</t>
  </si>
  <si>
    <t>h_pourcentage_handicap</t>
  </si>
  <si>
    <t>historique_statut</t>
  </si>
  <si>
    <t>hs_id_historique_statut</t>
  </si>
  <si>
    <t>hs_etat</t>
  </si>
  <si>
    <t>hs_date</t>
  </si>
  <si>
    <t>hs_absence</t>
  </si>
  <si>
    <t>hs_note</t>
  </si>
  <si>
    <t>hs_acteur</t>
  </si>
  <si>
    <t>horaire</t>
  </si>
  <si>
    <t>ho_id_horaire</t>
  </si>
  <si>
    <t>ho_plages</t>
  </si>
  <si>
    <t>ho_fonction</t>
  </si>
  <si>
    <t>lieu</t>
  </si>
  <si>
    <t>li_id_lieu</t>
  </si>
  <si>
    <t>li_label</t>
  </si>
  <si>
    <t>li_adresse</t>
  </si>
  <si>
    <t>li_code_postal</t>
  </si>
  <si>
    <t>li_localite</t>
  </si>
  <si>
    <t>li_pays</t>
  </si>
  <si>
    <t>mode_calcul_cheques_repas</t>
  </si>
  <si>
    <t>mc_id_mode_calcul_cheques_repas</t>
  </si>
  <si>
    <t>mc_label</t>
  </si>
  <si>
    <t>notification_pointage</t>
  </si>
  <si>
    <t>np_id_notification_pointage</t>
  </si>
  <si>
    <t>np_prestation</t>
  </si>
  <si>
    <t>np_Note</t>
  </si>
  <si>
    <t>objectif</t>
  </si>
  <si>
    <t>ob_id_objectif</t>
  </si>
  <si>
    <t>ob_label</t>
  </si>
  <si>
    <t>ob_kpi</t>
  </si>
  <si>
    <t>ob_resultat_definitif</t>
  </si>
  <si>
    <t>ob_evaluation</t>
  </si>
  <si>
    <t>objet</t>
  </si>
  <si>
    <t>obj_id_objet</t>
  </si>
  <si>
    <t>obj_nom_objet</t>
  </si>
  <si>
    <t>obj_date_creation</t>
  </si>
  <si>
    <t>obj_date_dernier_update</t>
  </si>
  <si>
    <t>obj_categorie</t>
  </si>
  <si>
    <t>obj_personnalise</t>
  </si>
  <si>
    <t>objet_has_objet</t>
  </si>
  <si>
    <t>oo_objet_id_objet</t>
  </si>
  <si>
    <t>oo_objet_idobjet1</t>
  </si>
  <si>
    <t>operateur_logique</t>
  </si>
  <si>
    <t>ol_id_operateur_logique</t>
  </si>
  <si>
    <t>ol_label</t>
  </si>
  <si>
    <t>organisme_cheques</t>
  </si>
  <si>
    <t>oc_id_organisme_cheques</t>
  </si>
  <si>
    <t>oc_Label</t>
  </si>
  <si>
    <t>oc_Adresse</t>
  </si>
  <si>
    <t>oc_code_postal</t>
  </si>
  <si>
    <t>oc_localite</t>
  </si>
  <si>
    <t>oc_contact</t>
  </si>
  <si>
    <t>oc_contrat</t>
  </si>
  <si>
    <t>oc_email</t>
  </si>
  <si>
    <t>oc_numero_telephone</t>
  </si>
  <si>
    <t>part</t>
  </si>
  <si>
    <t>p_id_part</t>
  </si>
  <si>
    <t>p_taux</t>
  </si>
  <si>
    <t>p_montant_mensuel</t>
  </si>
  <si>
    <t>p_moontant_annuel</t>
  </si>
  <si>
    <t>pause</t>
  </si>
  <si>
    <t>pa_id_pause</t>
  </si>
  <si>
    <t>pa_label</t>
  </si>
  <si>
    <t>pa_duree</t>
  </si>
  <si>
    <t>pa_heure_minimum</t>
  </si>
  <si>
    <t>pa_heure_maximum</t>
  </si>
  <si>
    <t>pa_obligatoire</t>
  </si>
  <si>
    <t>pause_has_horaire</t>
  </si>
  <si>
    <t>ph_pause_id_pause</t>
  </si>
  <si>
    <t>ph_horaire_id_horaire</t>
  </si>
  <si>
    <t>plage</t>
  </si>
  <si>
    <t>pl_id_Plage</t>
  </si>
  <si>
    <t>pl_label</t>
  </si>
  <si>
    <t>pl_heure_min_matin</t>
  </si>
  <si>
    <t>pl_heure_maximum_matin</t>
  </si>
  <si>
    <t>pl_heure_minimum_soir</t>
  </si>
  <si>
    <t>pl_heure_maximum_soir</t>
  </si>
  <si>
    <t>pl_heure_minimum_midi</t>
  </si>
  <si>
    <t>pl_heure_maximum_midi</t>
  </si>
  <si>
    <t>pointage</t>
  </si>
  <si>
    <t>po_id_pointage</t>
  </si>
  <si>
    <t>po_Heure</t>
  </si>
  <si>
    <t>po_type</t>
  </si>
  <si>
    <t>po_prestations_journee</t>
  </si>
  <si>
    <t>Lookup vers une prestation journée</t>
  </si>
  <si>
    <t>pointage_has_prestation_journee</t>
  </si>
  <si>
    <t>pp_pointage_id_pointage</t>
  </si>
  <si>
    <t>pp_prestation_journee_id_prestation_journee</t>
  </si>
  <si>
    <t>prestation_journee</t>
  </si>
  <si>
    <t>pj_id_prestation_journee</t>
  </si>
  <si>
    <t>pj_employe</t>
  </si>
  <si>
    <t>pj_date</t>
  </si>
  <si>
    <t>pj_calcul_journee</t>
  </si>
  <si>
    <t>pj_solde</t>
  </si>
  <si>
    <t>requete</t>
  </si>
  <si>
    <t>r_id_requete</t>
  </si>
  <si>
    <t>r_employe</t>
  </si>
  <si>
    <t>r_date_creation</t>
  </si>
  <si>
    <t>r_type</t>
  </si>
  <si>
    <t>r_note</t>
  </si>
  <si>
    <t>r_prestation</t>
  </si>
  <si>
    <t>r_date_validation_manager</t>
  </si>
  <si>
    <t>r_date_validation_rh</t>
  </si>
  <si>
    <t>regle</t>
  </si>
  <si>
    <t>re_id_regle</t>
  </si>
  <si>
    <t>re_label</t>
  </si>
  <si>
    <t>re_worklfow</t>
  </si>
  <si>
    <t>situation_conjoint</t>
  </si>
  <si>
    <t>sc_id_situation_conjoint</t>
  </si>
  <si>
    <t>sc_label</t>
  </si>
  <si>
    <t>skills</t>
  </si>
  <si>
    <t>se_skills_id_skills</t>
  </si>
  <si>
    <t>se_employe_id_employe</t>
  </si>
  <si>
    <t>sk_id_skills</t>
  </si>
  <si>
    <t>sk_label</t>
  </si>
  <si>
    <t>skills_has_employe</t>
  </si>
  <si>
    <t>solde</t>
  </si>
  <si>
    <t>s_id_solde</t>
  </si>
  <si>
    <t>s_nombre_jours_octroyes</t>
  </si>
  <si>
    <t>s_nombre_jours_pris</t>
  </si>
  <si>
    <t>s_nombre_jours_total</t>
  </si>
  <si>
    <t>s_nombre_report_precedant</t>
  </si>
  <si>
    <t>s_type_absence</t>
  </si>
  <si>
    <t>s_employe</t>
  </si>
  <si>
    <t>solde_heures</t>
  </si>
  <si>
    <t>sh_id_solde_heures</t>
  </si>
  <si>
    <t>sh_total_heure</t>
  </si>
  <si>
    <t>sh_employe</t>
  </si>
  <si>
    <t>statut_pecunier</t>
  </si>
  <si>
    <t>sp_id_statut_pecunier</t>
  </si>
  <si>
    <t>sp_grade_fonction</t>
  </si>
  <si>
    <t>sp_niveau</t>
  </si>
  <si>
    <t>sp_anciennete</t>
  </si>
  <si>
    <t>sp_taux_majoration</t>
  </si>
  <si>
    <t>sp_traitement_fixe</t>
  </si>
  <si>
    <t>sp_type_cotisation_sociale</t>
  </si>
  <si>
    <t>sp_caisse_pension</t>
  </si>
  <si>
    <t>sp_retenue_pension</t>
  </si>
  <si>
    <t>sp_num_affiliation_sociale</t>
  </si>
  <si>
    <t>sp_montant_alloc_foyer</t>
  </si>
  <si>
    <t>sp_type_precompte</t>
  </si>
  <si>
    <t>sp_pourcentage_precompte</t>
  </si>
  <si>
    <t>sp_impot_supplm</t>
  </si>
  <si>
    <t>suspension</t>
  </si>
  <si>
    <t>su_id_suspension</t>
  </si>
  <si>
    <t>su_label</t>
  </si>
  <si>
    <t>su_date_debut</t>
  </si>
  <si>
    <t>su_date_fin</t>
  </si>
  <si>
    <t>su_motif</t>
  </si>
  <si>
    <t>su_contrat</t>
  </si>
  <si>
    <t>type_absence</t>
  </si>
  <si>
    <t>ta_id_type_absence</t>
  </si>
  <si>
    <t>ta_label</t>
  </si>
  <si>
    <t>type_action</t>
  </si>
  <si>
    <t>tac_id_type_action</t>
  </si>
  <si>
    <t>tac_label</t>
  </si>
  <si>
    <t>type_allocation</t>
  </si>
  <si>
    <t>tal_id_type_allocation</t>
  </si>
  <si>
    <t>tal_label</t>
  </si>
  <si>
    <t>type_champs</t>
  </si>
  <si>
    <t>tch_id_type_champs</t>
  </si>
  <si>
    <t>tch_label</t>
  </si>
  <si>
    <t>type_complement</t>
  </si>
  <si>
    <t>tcom_id_type_complement</t>
  </si>
  <si>
    <t>tcom_label</t>
  </si>
  <si>
    <t>type_cotisation</t>
  </si>
  <si>
    <t>tco_id_type_cotisation</t>
  </si>
  <si>
    <t>tco_label</t>
  </si>
  <si>
    <t>type_cotisation_sociale</t>
  </si>
  <si>
    <t>tcs_id_type_cotisation_sociale</t>
  </si>
  <si>
    <t>tcs_label</t>
  </si>
  <si>
    <t>type_moment</t>
  </si>
  <si>
    <t>tm_id_type_moment</t>
  </si>
  <si>
    <t>tm_label</t>
  </si>
  <si>
    <t>type_part</t>
  </si>
  <si>
    <t>tp_id_type_part</t>
  </si>
  <si>
    <t>tp_label</t>
  </si>
  <si>
    <t>type_pointage</t>
  </si>
  <si>
    <t>tpo_id_type_pointage</t>
  </si>
  <si>
    <t>tpo_label</t>
  </si>
  <si>
    <t>type_precompte</t>
  </si>
  <si>
    <t>tpr_id_type_precompte</t>
  </si>
  <si>
    <t>tpr_label</t>
  </si>
  <si>
    <t>type_regime</t>
  </si>
  <si>
    <t>tre_id_type_regime</t>
  </si>
  <si>
    <t>tre_label</t>
  </si>
  <si>
    <t>type_requete</t>
  </si>
  <si>
    <t>trq_label</t>
  </si>
  <si>
    <t>trq_id_type_requete</t>
  </si>
  <si>
    <t>worklows</t>
  </si>
  <si>
    <t>w_id_worklows</t>
  </si>
  <si>
    <t>w_label</t>
  </si>
  <si>
    <t>w_date_creation</t>
  </si>
  <si>
    <t>w_date_update</t>
  </si>
  <si>
    <t>worklows_has_objet</t>
  </si>
  <si>
    <t>wo_worklows_id_worklows</t>
  </si>
  <si>
    <t>wo_objet_id_objet</t>
  </si>
  <si>
    <t>wo_objet_date_creation</t>
  </si>
  <si>
    <t>h_enfant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</si>
</sst>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0" fontId="0" fillId="0" borderId="0" xfId="0" applyNumberFormat="1"/>
    <xf numFmtId="2" fontId="0" fillId="0" borderId="0" xfId="0" applyNumberFormat="1"/>
    <xf numFmtId="0" fontId="0" fillId="0" borderId="1" xfId="0" applyFont="1" applyBorder="1"/>
    <xf numFmtId="0" fontId="0" fillId="2" borderId="1" xfId="0" applyFont="1" applyFill="1" applyBorder="1"/>
  </cellXfs>
  <cellStyles count="1">
    <cellStyle name="Normal" xfId="0" builtinId="0"/>
  </cellStyles>
  <dxfs count="6"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2:L10" totalsRowShown="0">
  <autoFilter ref="A2:L10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id="11" name="Tableau11" displayName="Tableau11" ref="A79:L88" totalsRowCount="1">
  <autoFilter ref="A79:L87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SUM(Tableau11[Taille (Bytes)])</totalsRowFormula>
    </tableColumn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id="12" name="Tableau12" displayName="Tableau12" ref="A90:L96" totalsRowCount="1">
  <autoFilter ref="A90:L95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SUM(Tableau12[Taille (Bytes)])</totalsRowFormula>
    </tableColumn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id="13" name="Tableau13" displayName="Tableau13" ref="A98:L103" totalsRowCount="1">
  <autoFilter ref="A98:L102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SUM(Tableau13[Taille (Bytes)])</totalsRowFormula>
    </tableColumn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id="14" name="Tableau14" displayName="Tableau14" ref="A105:L114" totalsRowCount="1">
  <autoFilter ref="A105:L113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SUM(Tableau14[Taille (Bytes)])</totalsRowFormula>
    </tableColumn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id="15" name="Tableau15" displayName="Tableau15" ref="A116:L122" totalsRowCount="1">
  <autoFilter ref="A116:L121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SUM(Tableau15[Taille (Bytes)])</totalsRowFormula>
    </tableColumn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id="16" name="Tableau16" displayName="Tableau16" ref="A124:L127" totalsRowCount="1">
  <autoFilter ref="A124:L126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SUM(Tableau16[Taille (Bytes)])</totalsRowFormula>
    </tableColumn>
  </tableColumns>
  <tableStyleInfo name="TableStyleMedium3" showFirstColumn="0" showLastColumn="0" showRowStripes="1" showColumnStripes="0"/>
</table>
</file>

<file path=xl/tables/table16.xml><?xml version="1.0" encoding="utf-8"?>
<table xmlns="http://schemas.openxmlformats.org/spreadsheetml/2006/main" id="17" name="Tableau17" displayName="Tableau17" ref="A129:L134" totalsRowCount="1">
  <autoFilter ref="A129:L133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SUM(Tableau17[Taille (Bytes)])</totalsRowFormula>
    </tableColumn>
  </tableColumns>
  <tableStyleInfo name="TableStyleMedium3" showFirstColumn="0" showLastColumn="0" showRowStripes="1" showColumnStripes="0"/>
</table>
</file>

<file path=xl/tables/table17.xml><?xml version="1.0" encoding="utf-8"?>
<table xmlns="http://schemas.openxmlformats.org/spreadsheetml/2006/main" id="18" name="Tableau18" displayName="Tableau18" ref="A136:L155" totalsRowCount="1">
  <autoFilter ref="A136:L154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SUM(Tableau18[Taille (Bytes)])</totalsRowFormula>
    </tableColumn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9" name="Tableau19" displayName="Tableau19" ref="A157:L160" totalsRowCount="1">
  <autoFilter ref="A157:L159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SUM(Tableau19[Taille (Bytes)])</totalsRowFormula>
    </tableColumn>
  </tableColumns>
  <tableStyleInfo name="TableStyleMedium3" showFirstColumn="0" showLastColumn="0" showRowStripes="1" showColumnStripes="0"/>
</table>
</file>

<file path=xl/tables/table19.xml><?xml version="1.0" encoding="utf-8"?>
<table xmlns="http://schemas.openxmlformats.org/spreadsheetml/2006/main" id="20" name="Tableau20" displayName="Tableau20" ref="A162:L165" totalsRowCount="1">
  <autoFilter ref="A162:L164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SUM(Tableau20[Taille (Bytes)])</totalsRow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3:L18" totalsRowCount="1">
  <autoFilter ref="A13:L17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SUM(Tableau2[Taille (Bytes)])</totalsRowFormula>
    </tableColumn>
  </tableColumns>
  <tableStyleInfo name="TableStyleMedium3" showFirstColumn="0" showLastColumn="0" showRowStripes="1" showColumnStripes="0"/>
</table>
</file>

<file path=xl/tables/table20.xml><?xml version="1.0" encoding="utf-8"?>
<table xmlns="http://schemas.openxmlformats.org/spreadsheetml/2006/main" id="21" name="Tableau21" displayName="Tableau21" ref="A167:L176" totalsRowCount="1">
  <autoFilter ref="A167:L175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SUM(Tableau21[Taille (Bytes)])</totalsRowFormula>
    </tableColumn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22" name="Tableau22" displayName="Tableau22" ref="A178:L181" totalsRowCount="1">
  <autoFilter ref="A178:L180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SUM(Tableau22[Taille (Bytes)])</totalsRowFormula>
    </tableColumn>
  </tableColumns>
  <tableStyleInfo name="TableStyleMedium3" showFirstColumn="0" showLastColumn="0" showRowStripes="1" showColumnStripes="0"/>
</table>
</file>

<file path=xl/tables/table22.xml><?xml version="1.0" encoding="utf-8"?>
<table xmlns="http://schemas.openxmlformats.org/spreadsheetml/2006/main" id="23" name="Tableau23" displayName="Tableau23" ref="A183:L190" totalsRowCount="1">
  <autoFilter ref="A183:L189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SUM(Tableau23[Taille (Bytes)])</totalsRowFormula>
    </tableColumn>
  </tableColumns>
  <tableStyleInfo name="TableStyleMedium3" showFirstColumn="0" showLastColumn="0" showRowStripes="1" showColumnStripes="0"/>
</table>
</file>

<file path=xl/tables/table23.xml><?xml version="1.0" encoding="utf-8"?>
<table xmlns="http://schemas.openxmlformats.org/spreadsheetml/2006/main" id="24" name="Tableau24" displayName="Tableau24" ref="A192:L205" totalsRowCount="1">
  <autoFilter ref="A192:L204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SUM(Tableau24[Taille (Bytes)])</totalsRowFormula>
    </tableColumn>
  </tableColumns>
  <tableStyleInfo name="TableStyleMedium3" showFirstColumn="0" showLastColumn="0" showRowStripes="1" showColumnStripes="0"/>
</table>
</file>

<file path=xl/tables/table24.xml><?xml version="1.0" encoding="utf-8"?>
<table xmlns="http://schemas.openxmlformats.org/spreadsheetml/2006/main" id="25" name="Tableau25" displayName="Tableau25" ref="A207:L218" totalsRowCount="1">
  <autoFilter ref="A207:L217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SUM(Tableau25[Taille (Bytes)])</totalsRowFormula>
    </tableColumn>
  </tableColumns>
  <tableStyleInfo name="TableStyleMedium3" showFirstColumn="0" showLastColumn="0" showRowStripes="1" showColumnStripes="0"/>
</table>
</file>

<file path=xl/tables/table25.xml><?xml version="1.0" encoding="utf-8"?>
<table xmlns="http://schemas.openxmlformats.org/spreadsheetml/2006/main" id="26" name="Tableau26" displayName="Tableau26" ref="A220:L225" totalsRowCount="1">
  <autoFilter ref="A220:L224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SUM(Tableau26[Taille (Bytes)])</totalsRowFormula>
    </tableColumn>
  </tableColumns>
  <tableStyleInfo name="TableStyleMedium3" showFirstColumn="0" showLastColumn="0" showRowStripes="1" showColumnStripes="0"/>
</table>
</file>

<file path=xl/tables/table26.xml><?xml version="1.0" encoding="utf-8"?>
<table xmlns="http://schemas.openxmlformats.org/spreadsheetml/2006/main" id="27" name="Tableau27" displayName="Tableau27" ref="A227:L230" totalsRowCount="1">
  <autoFilter ref="A227:L229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SUM(Tableau27[Taille (Bytes)])</totalsRowFormula>
    </tableColumn>
  </tableColumns>
  <tableStyleInfo name="TableStyleMedium3" showFirstColumn="0" showLastColumn="0" showRowStripes="1" showColumnStripes="0"/>
</table>
</file>

<file path=xl/tables/table27.xml><?xml version="1.0" encoding="utf-8"?>
<table xmlns="http://schemas.openxmlformats.org/spreadsheetml/2006/main" id="28" name="Tableau28" displayName="Tableau28" ref="A232:L236" totalsRowCount="1">
  <autoFilter ref="A232:L235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SUM(Tableau28[Taille (Bytes)])</totalsRowFormula>
    </tableColumn>
  </tableColumns>
  <tableStyleInfo name="TableStyleMedium3" showFirstColumn="0" showLastColumn="0" showRowStripes="1" showColumnStripes="0"/>
</table>
</file>

<file path=xl/tables/table28.xml><?xml version="1.0" encoding="utf-8"?>
<table xmlns="http://schemas.openxmlformats.org/spreadsheetml/2006/main" id="29" name="Tableau29" displayName="Tableau29" ref="A238:L241" totalsRowCount="1">
  <autoFilter ref="A238:L240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SUM(Tableau29[Taille (Bytes)])</totalsRowFormula>
    </tableColumn>
  </tableColumns>
  <tableStyleInfo name="TableStyleMedium3" showFirstColumn="0" showLastColumn="0" showRowStripes="1" showColumnStripes="0"/>
</table>
</file>

<file path=xl/tables/table29.xml><?xml version="1.0" encoding="utf-8"?>
<table xmlns="http://schemas.openxmlformats.org/spreadsheetml/2006/main" id="30" name="Tableau30" displayName="Tableau30" ref="A243:L250" totalsRowCount="1">
  <autoFilter ref="A243:L249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SUM(Tableau30[Taille (Bytes)])</totalsRow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Tableau3" displayName="Tableau3" ref="A20:L28" totalsRowCount="1">
  <autoFilter ref="A20:L27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SUM(Tableau3[Taille (Bytes)])</totalsRowFormula>
    </tableColumn>
  </tableColumns>
  <tableStyleInfo name="TableStyleMedium3" showFirstColumn="0" showLastColumn="0" showRowStripes="1" showColumnStripes="0"/>
</table>
</file>

<file path=xl/tables/table30.xml><?xml version="1.0" encoding="utf-8"?>
<table xmlns="http://schemas.openxmlformats.org/spreadsheetml/2006/main" id="31" name="Tableau31" displayName="Tableau31" ref="A252:L259" totalsRowCount="1">
  <autoFilter ref="A252:L258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SUM(Tableau31[Taille (Bytes)])</totalsRowFormula>
    </tableColumn>
  </tableColumns>
  <tableStyleInfo name="TableStyleMedium3" showFirstColumn="0" showLastColumn="0" showRowStripes="1" showColumnStripes="0"/>
</table>
</file>

<file path=xl/tables/table31.xml><?xml version="1.0" encoding="utf-8"?>
<table xmlns="http://schemas.openxmlformats.org/spreadsheetml/2006/main" id="32" name="Tableau32" displayName="Tableau32" ref="A261:L266" totalsRowCount="1">
  <autoFilter ref="A261:L265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SUM(Tableau32[Taille (Bytes)])</totalsRowFormula>
    </tableColumn>
  </tableColumns>
  <tableStyleInfo name="TableStyleMedium3" showFirstColumn="0" showLastColumn="0" showRowStripes="1" showColumnStripes="0"/>
</table>
</file>

<file path=xl/tables/table32.xml><?xml version="1.0" encoding="utf-8"?>
<table xmlns="http://schemas.openxmlformats.org/spreadsheetml/2006/main" id="33" name="Tableau33" displayName="Tableau33" ref="A268:L275" totalsRowCount="1">
  <autoFilter ref="A268:L274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SUM(Tableau33[Taille (Bytes)])</totalsRowFormula>
    </tableColumn>
  </tableColumns>
  <tableStyleInfo name="TableStyleMedium3" showFirstColumn="0" showLastColumn="0" showRowStripes="1" showColumnStripes="0"/>
</table>
</file>

<file path=xl/tables/table33.xml><?xml version="1.0" encoding="utf-8"?>
<table xmlns="http://schemas.openxmlformats.org/spreadsheetml/2006/main" id="34" name="Tableau34" displayName="Tableau34" ref="A277:L280" totalsRowCount="1">
  <autoFilter ref="A277:L279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SUM(Tableau34[Taille (Bytes)])</totalsRowFormula>
    </tableColumn>
  </tableColumns>
  <tableStyleInfo name="TableStyleMedium3" showFirstColumn="0" showLastColumn="0" showRowStripes="1" showColumnStripes="0"/>
</table>
</file>

<file path=xl/tables/table34.xml><?xml version="1.0" encoding="utf-8"?>
<table xmlns="http://schemas.openxmlformats.org/spreadsheetml/2006/main" id="35" name="Tableau35" displayName="Tableau35" ref="A282:L286" totalsRowCount="1">
  <autoFilter ref="A282:L285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SUM(Tableau35[Taille (Bytes)])</totalsRowFormula>
    </tableColumn>
  </tableColumns>
  <tableStyleInfo name="TableStyleMedium3" showFirstColumn="0" showLastColumn="0" showRowStripes="1" showColumnStripes="0"/>
</table>
</file>

<file path=xl/tables/table35.xml><?xml version="1.0" encoding="utf-8"?>
<table xmlns="http://schemas.openxmlformats.org/spreadsheetml/2006/main" id="36" name="Tableau36" displayName="Tableau36" ref="A288:L294" totalsRowCount="1">
  <autoFilter ref="A288:L293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SUM(Tableau36[Taille (Bytes)])</totalsRowFormula>
    </tableColumn>
  </tableColumns>
  <tableStyleInfo name="TableStyleMedium3" showFirstColumn="0" showLastColumn="0" showRowStripes="1" showColumnStripes="0"/>
</table>
</file>

<file path=xl/tables/table36.xml><?xml version="1.0" encoding="utf-8"?>
<table xmlns="http://schemas.openxmlformats.org/spreadsheetml/2006/main" id="37" name="Tableau37" displayName="Tableau37" ref="A296:L303" totalsRowCount="1">
  <autoFilter ref="A296:L302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SUM(Tableau37[Taille (Bytes)])</totalsRowFormula>
    </tableColumn>
  </tableColumns>
  <tableStyleInfo name="TableStyleMedium3" showFirstColumn="0" showLastColumn="0" showRowStripes="1" showColumnStripes="0"/>
</table>
</file>

<file path=xl/tables/table37.xml><?xml version="1.0" encoding="utf-8"?>
<table xmlns="http://schemas.openxmlformats.org/spreadsheetml/2006/main" id="38" name="Tableau38" displayName="Tableau38" ref="A305:L308" totalsRowCount="1">
  <autoFilter ref="A305:L307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SUM(Tableau38[Taille (Bytes)])</totalsRowFormula>
    </tableColumn>
  </tableColumns>
  <tableStyleInfo name="TableStyleMedium3" showFirstColumn="0" showLastColumn="0" showRowStripes="1" showColumnStripes="0"/>
</table>
</file>

<file path=xl/tables/table38.xml><?xml version="1.0" encoding="utf-8"?>
<table xmlns="http://schemas.openxmlformats.org/spreadsheetml/2006/main" id="39" name="Tableau39" displayName="Tableau39" ref="A310:L313" totalsRowCount="1">
  <autoFilter ref="A310:L312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SUM(Tableau39[Taille (Bytes)])</totalsRowFormula>
    </tableColumn>
  </tableColumns>
  <tableStyleInfo name="TableStyleMedium3" showFirstColumn="0" showLastColumn="0" showRowStripes="1" showColumnStripes="0"/>
</table>
</file>

<file path=xl/tables/table39.xml><?xml version="1.0" encoding="utf-8"?>
<table xmlns="http://schemas.openxmlformats.org/spreadsheetml/2006/main" id="40" name="Tableau40" displayName="Tableau40" ref="A315:L325" totalsRowCount="1">
  <autoFilter ref="A315:L324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SUM(Tableau40[Taille (Bytes)])</totalsRow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4" name="Tableau4" displayName="Tableau4" ref="A30:L38" totalsRowCount="1">
  <autoFilter ref="A30:L37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SUM(Tableau4[Taille (Bytes)])</totalsRowFormula>
    </tableColumn>
  </tableColumns>
  <tableStyleInfo name="TableStyleMedium3" showFirstColumn="0" showLastColumn="0" showRowStripes="1" showColumnStripes="0"/>
</table>
</file>

<file path=xl/tables/table40.xml><?xml version="1.0" encoding="utf-8"?>
<table xmlns="http://schemas.openxmlformats.org/spreadsheetml/2006/main" id="41" name="Tableau41" displayName="Tableau41" ref="A327:L332" totalsRowCount="1">
  <autoFilter ref="A327:L331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SUM(Tableau41[Taille (Bytes)])</totalsRowFormula>
    </tableColumn>
  </tableColumns>
  <tableStyleInfo name="TableStyleMedium3" showFirstColumn="0" showLastColumn="0" showRowStripes="1" showColumnStripes="0"/>
</table>
</file>

<file path=xl/tables/table41.xml><?xml version="1.0" encoding="utf-8"?>
<table xmlns="http://schemas.openxmlformats.org/spreadsheetml/2006/main" id="42" name="Tableau42" displayName="Tableau42" ref="A334:L341" totalsRowCount="1">
  <autoFilter ref="A334:L340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SUM(Tableau42[Taille (Bytes)])</totalsRowFormula>
    </tableColumn>
  </tableColumns>
  <tableStyleInfo name="TableStyleMedium3" showFirstColumn="0" showLastColumn="0" showRowStripes="1" showColumnStripes="0"/>
</table>
</file>

<file path=xl/tables/table42.xml><?xml version="1.0" encoding="utf-8"?>
<table xmlns="http://schemas.openxmlformats.org/spreadsheetml/2006/main" id="43" name="Tableau43" displayName="Tableau43" ref="A343:L346" totalsRowCount="1">
  <autoFilter ref="A343:L345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SUM(Tableau43[Taille (Bytes)])</totalsRowFormula>
    </tableColumn>
  </tableColumns>
  <tableStyleInfo name="TableStyleMedium3" showFirstColumn="0" showLastColumn="0" showRowStripes="1" showColumnStripes="0"/>
</table>
</file>

<file path=xl/tables/table43.xml><?xml version="1.0" encoding="utf-8"?>
<table xmlns="http://schemas.openxmlformats.org/spreadsheetml/2006/main" id="44" name="Tableau44" displayName="Tableau44" ref="A348:L357" totalsRowCount="1">
  <autoFilter ref="A348:L356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SUM(Tableau44[Taille (Bytes)])</totalsRowFormula>
    </tableColumn>
  </tableColumns>
  <tableStyleInfo name="TableStyleMedium3" showFirstColumn="0" showLastColumn="0" showRowStripes="1" showColumnStripes="0"/>
</table>
</file>

<file path=xl/tables/table44.xml><?xml version="1.0" encoding="utf-8"?>
<table xmlns="http://schemas.openxmlformats.org/spreadsheetml/2006/main" id="45" name="Tableau45" displayName="Tableau45" ref="A359:L364" totalsRowCount="1">
  <autoFilter ref="A359:L363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SUM(Tableau45[Taille (Bytes)])</totalsRowFormula>
    </tableColumn>
  </tableColumns>
  <tableStyleInfo name="TableStyleMedium3" showFirstColumn="0" showLastColumn="0" showRowStripes="1" showColumnStripes="0"/>
</table>
</file>

<file path=xl/tables/table45.xml><?xml version="1.0" encoding="utf-8"?>
<table xmlns="http://schemas.openxmlformats.org/spreadsheetml/2006/main" id="46" name="Tableau46" displayName="Tableau46" ref="A366:L369" totalsRowCount="1">
  <autoFilter ref="A366:L368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SUM(Tableau46[Taille (Bytes)])</totalsRowFormula>
    </tableColumn>
  </tableColumns>
  <tableStyleInfo name="TableStyleMedium3" showFirstColumn="0" showLastColumn="0" showRowStripes="1" showColumnStripes="0"/>
</table>
</file>

<file path=xl/tables/table46.xml><?xml version="1.0" encoding="utf-8"?>
<table xmlns="http://schemas.openxmlformats.org/spreadsheetml/2006/main" id="47" name="Tableau47" displayName="Tableau47" ref="A371:L377" totalsRowCount="1">
  <autoFilter ref="A371:L376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SUM(Tableau47[Taille (Bytes)])</totalsRowFormula>
    </tableColumn>
  </tableColumns>
  <tableStyleInfo name="TableStyleMedium3" showFirstColumn="0" showLastColumn="0" showRowStripes="1" showColumnStripes="0"/>
</table>
</file>

<file path=xl/tables/table47.xml><?xml version="1.0" encoding="utf-8"?>
<table xmlns="http://schemas.openxmlformats.org/spreadsheetml/2006/main" id="48" name="Tableau48" displayName="Tableau48" ref="A379:L389" totalsRowCount="1">
  <autoFilter ref="A379:L388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SUM(Tableau48[Taille (Bytes)])</totalsRowFormula>
    </tableColumn>
  </tableColumns>
  <tableStyleInfo name="TableStyleMedium3" showFirstColumn="0" showLastColumn="0" showRowStripes="1" showColumnStripes="0"/>
</table>
</file>

<file path=xl/tables/table48.xml><?xml version="1.0" encoding="utf-8"?>
<table xmlns="http://schemas.openxmlformats.org/spreadsheetml/2006/main" id="49" name="Tableau49" displayName="Tableau49" ref="A391:L395" totalsRowCount="1">
  <autoFilter ref="A391:L394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SUM(Tableau49[Taille (Bytes)])</totalsRowFormula>
    </tableColumn>
  </tableColumns>
  <tableStyleInfo name="TableStyleMedium3" showFirstColumn="0" showLastColumn="0" showRowStripes="1" showColumnStripes="0"/>
</table>
</file>

<file path=xl/tables/table49.xml><?xml version="1.0" encoding="utf-8"?>
<table xmlns="http://schemas.openxmlformats.org/spreadsheetml/2006/main" id="50" name="Tableau50" displayName="Tableau50" ref="A397:L400" totalsRowCount="1">
  <autoFilter ref="A397:L399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SUM(Tableau50[Taille (Bytes)])</totalsRow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5" name="Tableau5" displayName="Tableau5" ref="A40:L43" totalsRowCount="1">
  <autoFilter ref="A40:L42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SUM(Tableau5[Taille (Bytes)])</totalsRowFormula>
    </tableColumn>
  </tableColumns>
  <tableStyleInfo name="TableStyleMedium3" showFirstColumn="0" showLastColumn="0" showRowStripes="1" showColumnStripes="0"/>
</table>
</file>

<file path=xl/tables/table50.xml><?xml version="1.0" encoding="utf-8"?>
<table xmlns="http://schemas.openxmlformats.org/spreadsheetml/2006/main" id="51" name="Tableau51" displayName="Tableau51" ref="A402:L406" totalsRowCount="1">
  <autoFilter ref="A402:L405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SUM(Tableau51[Taille (Bytes)])</totalsRowFormula>
    </tableColumn>
  </tableColumns>
  <tableStyleInfo name="TableStyleMedium3" showFirstColumn="0" showLastColumn="0" showRowStripes="1" showColumnStripes="0"/>
</table>
</file>

<file path=xl/tables/table51.xml><?xml version="1.0" encoding="utf-8"?>
<table xmlns="http://schemas.openxmlformats.org/spreadsheetml/2006/main" id="52" name="Tableau52" displayName="Tableau52" ref="A408:L411" totalsRowCount="1">
  <autoFilter ref="A408:L410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SUM(Tableau52[Taille (Bytes)])</totalsRowFormula>
    </tableColumn>
  </tableColumns>
  <tableStyleInfo name="TableStyleMedium3" showFirstColumn="0" showLastColumn="0" showRowStripes="1" showColumnStripes="0"/>
</table>
</file>

<file path=xl/tables/table52.xml><?xml version="1.0" encoding="utf-8"?>
<table xmlns="http://schemas.openxmlformats.org/spreadsheetml/2006/main" id="53" name="Tableau53" displayName="Tableau53" ref="A413:L421" totalsRowCount="1">
  <autoFilter ref="A413:L420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SUM(Tableau53[Taille (Bytes)])</totalsRowFormula>
    </tableColumn>
  </tableColumns>
  <tableStyleInfo name="TableStyleMedium3" showFirstColumn="0" showLastColumn="0" showRowStripes="1" showColumnStripes="0"/>
</table>
</file>

<file path=xl/tables/table53.xml><?xml version="1.0" encoding="utf-8"?>
<table xmlns="http://schemas.openxmlformats.org/spreadsheetml/2006/main" id="54" name="Tableau54" displayName="Tableau54" ref="A423:L427" totalsRowCount="1">
  <autoFilter ref="A423:L426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SUM(Tableau54[Taille (Bytes)])</totalsRowFormula>
    </tableColumn>
  </tableColumns>
  <tableStyleInfo name="TableStyleMedium3" showFirstColumn="0" showLastColumn="0" showRowStripes="1" showColumnStripes="0"/>
</table>
</file>

<file path=xl/tables/table54.xml><?xml version="1.0" encoding="utf-8"?>
<table xmlns="http://schemas.openxmlformats.org/spreadsheetml/2006/main" id="55" name="Tableau55" displayName="Tableau55" ref="A429:L445" totalsRowCount="1">
  <autoFilter ref="A429:L444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SUM(Tableau55[Taille (Bytes)])</totalsRowFormula>
    </tableColumn>
  </tableColumns>
  <tableStyleInfo name="TableStyleMedium3" showFirstColumn="0" showLastColumn="0" showRowStripes="1" showColumnStripes="0"/>
</table>
</file>

<file path=xl/tables/table55.xml><?xml version="1.0" encoding="utf-8"?>
<table xmlns="http://schemas.openxmlformats.org/spreadsheetml/2006/main" id="56" name="Tableau56" displayName="Tableau56" ref="A447:L454" totalsRowCount="1">
  <autoFilter ref="A447:L453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SUM(Tableau56[Taille (Bytes)])</totalsRowFormula>
    </tableColumn>
  </tableColumns>
  <tableStyleInfo name="TableStyleMedium3" showFirstColumn="0" showLastColumn="0" showRowStripes="1" showColumnStripes="0"/>
</table>
</file>

<file path=xl/tables/table56.xml><?xml version="1.0" encoding="utf-8"?>
<table xmlns="http://schemas.openxmlformats.org/spreadsheetml/2006/main" id="57" name="Tableau57" displayName="Tableau57" ref="A456:L459" totalsRowCount="1">
  <autoFilter ref="A456:L458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SUM(Tableau57[Taille (Bytes)])</totalsRowFormula>
    </tableColumn>
  </tableColumns>
  <tableStyleInfo name="TableStyleMedium3" showFirstColumn="0" showLastColumn="0" showRowStripes="1" showColumnStripes="0"/>
</table>
</file>

<file path=xl/tables/table57.xml><?xml version="1.0" encoding="utf-8"?>
<table xmlns="http://schemas.openxmlformats.org/spreadsheetml/2006/main" id="58" name="Tableau58" displayName="Tableau58" ref="A461:L464" totalsRowCount="1">
  <autoFilter ref="A461:L463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SUM(Tableau58[Taille (Bytes)])</totalsRowFormula>
    </tableColumn>
  </tableColumns>
  <tableStyleInfo name="TableStyleMedium3" showFirstColumn="0" showLastColumn="0" showRowStripes="1" showColumnStripes="0"/>
</table>
</file>

<file path=xl/tables/table58.xml><?xml version="1.0" encoding="utf-8"?>
<table xmlns="http://schemas.openxmlformats.org/spreadsheetml/2006/main" id="59" name="Tableau59" displayName="Tableau59" ref="A466:L469" totalsRowCount="1">
  <autoFilter ref="A466:L468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SUM(Tableau59[Taille (Bytes)])</totalsRowFormula>
    </tableColumn>
  </tableColumns>
  <tableStyleInfo name="TableStyleMedium3" showFirstColumn="0" showLastColumn="0" showRowStripes="1" showColumnStripes="0"/>
</table>
</file>

<file path=xl/tables/table59.xml><?xml version="1.0" encoding="utf-8"?>
<table xmlns="http://schemas.openxmlformats.org/spreadsheetml/2006/main" id="60" name="Tableau60" displayName="Tableau60" ref="A471:L474" totalsRowCount="1">
  <autoFilter ref="A471:L473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SUM(Tableau60[Taille (Bytes)])</totalsRowFormula>
    </tableColumn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6" name="Tableau6" displayName="Tableau6" ref="A45:L55" totalsRowCount="1">
  <autoFilter ref="A45:L54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SUM(Tableau6[Taille (Bytes)])</totalsRowFormula>
    </tableColumn>
  </tableColumns>
  <tableStyleInfo name="TableStyleMedium3" showFirstColumn="0" showLastColumn="0" showRowStripes="1" showColumnStripes="0"/>
</table>
</file>

<file path=xl/tables/table60.xml><?xml version="1.0" encoding="utf-8"?>
<table xmlns="http://schemas.openxmlformats.org/spreadsheetml/2006/main" id="61" name="Tableau61" displayName="Tableau61" ref="A476:L479" totalsRowCount="1">
  <autoFilter ref="A476:L478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SUM(Tableau61[Taille (Bytes)])</totalsRowFormula>
    </tableColumn>
  </tableColumns>
  <tableStyleInfo name="TableStyleMedium3" showFirstColumn="0" showLastColumn="0" showRowStripes="1" showColumnStripes="0"/>
</table>
</file>

<file path=xl/tables/table61.xml><?xml version="1.0" encoding="utf-8"?>
<table xmlns="http://schemas.openxmlformats.org/spreadsheetml/2006/main" id="62" name="Tableau62" displayName="Tableau62" ref="A481:L484" totalsRowCount="1">
  <autoFilter ref="A481:L483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SUM(Tableau62[Taille (Bytes)])</totalsRowFormula>
    </tableColumn>
  </tableColumns>
  <tableStyleInfo name="TableStyleMedium3" showFirstColumn="0" showLastColumn="0" showRowStripes="1" showColumnStripes="0"/>
</table>
</file>

<file path=xl/tables/table62.xml><?xml version="1.0" encoding="utf-8"?>
<table xmlns="http://schemas.openxmlformats.org/spreadsheetml/2006/main" id="63" name="Tableau63" displayName="Tableau63" ref="A486:L489" totalsRowCount="1">
  <autoFilter ref="A486:L488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SUM(Tableau63[Taille (Bytes)])</totalsRowFormula>
    </tableColumn>
  </tableColumns>
  <tableStyleInfo name="TableStyleMedium3" showFirstColumn="0" showLastColumn="0" showRowStripes="1" showColumnStripes="0"/>
</table>
</file>

<file path=xl/tables/table63.xml><?xml version="1.0" encoding="utf-8"?>
<table xmlns="http://schemas.openxmlformats.org/spreadsheetml/2006/main" id="64" name="Tableau64" displayName="Tableau64" ref="A491:L494" totalsRowCount="1">
  <autoFilter ref="A491:L493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SUM(Tableau64[Taille (Bytes)])</totalsRowFormula>
    </tableColumn>
  </tableColumns>
  <tableStyleInfo name="TableStyleMedium3" showFirstColumn="0" showLastColumn="0" showRowStripes="1" showColumnStripes="0"/>
</table>
</file>

<file path=xl/tables/table64.xml><?xml version="1.0" encoding="utf-8"?>
<table xmlns="http://schemas.openxmlformats.org/spreadsheetml/2006/main" id="65" name="Tableau65" displayName="Tableau65" ref="A496:L499" totalsRowCount="1">
  <autoFilter ref="A496:L498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SUM(Tableau65[Taille (Bytes)])</totalsRowFormula>
    </tableColumn>
  </tableColumns>
  <tableStyleInfo name="TableStyleMedium3" showFirstColumn="0" showLastColumn="0" showRowStripes="1" showColumnStripes="0"/>
</table>
</file>

<file path=xl/tables/table65.xml><?xml version="1.0" encoding="utf-8"?>
<table xmlns="http://schemas.openxmlformats.org/spreadsheetml/2006/main" id="66" name="Tableau66" displayName="Tableau66" ref="A501:L504" totalsRowCount="1">
  <autoFilter ref="A501:L503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SUM(Tableau66[Taille (Bytes)])</totalsRowFormula>
    </tableColumn>
  </tableColumns>
  <tableStyleInfo name="TableStyleMedium3" showFirstColumn="0" showLastColumn="0" showRowStripes="1" showColumnStripes="0"/>
</table>
</file>

<file path=xl/tables/table66.xml><?xml version="1.0" encoding="utf-8"?>
<table xmlns="http://schemas.openxmlformats.org/spreadsheetml/2006/main" id="67" name="Tableau67" displayName="Tableau67" ref="A506:L509" totalsRowCount="1">
  <autoFilter ref="A506:L508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SUM(Tableau67[Taille (Bytes)])</totalsRowFormula>
    </tableColumn>
  </tableColumns>
  <tableStyleInfo name="TableStyleMedium3" showFirstColumn="0" showLastColumn="0" showRowStripes="1" showColumnStripes="0"/>
</table>
</file>

<file path=xl/tables/table67.xml><?xml version="1.0" encoding="utf-8"?>
<table xmlns="http://schemas.openxmlformats.org/spreadsheetml/2006/main" id="68" name="Tableau68" displayName="Tableau68" ref="A511:L514" totalsRowCount="1">
  <autoFilter ref="A511:L513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SUM(Tableau68[Taille (Bytes)])</totalsRowFormula>
    </tableColumn>
  </tableColumns>
  <tableStyleInfo name="TableStyleMedium3" showFirstColumn="0" showLastColumn="0" showRowStripes="1" showColumnStripes="0"/>
</table>
</file>

<file path=xl/tables/table68.xml><?xml version="1.0" encoding="utf-8"?>
<table xmlns="http://schemas.openxmlformats.org/spreadsheetml/2006/main" id="69" name="Tableau69" displayName="Tableau69" ref="A516:L519" totalsRowCount="1">
  <autoFilter ref="A516:L518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SUM(Tableau69[Taille (Bytes)])</totalsRowFormula>
    </tableColumn>
  </tableColumns>
  <tableStyleInfo name="TableStyleMedium3" showFirstColumn="0" showLastColumn="0" showRowStripes="1" showColumnStripes="0"/>
</table>
</file>

<file path=xl/tables/table69.xml><?xml version="1.0" encoding="utf-8"?>
<table xmlns="http://schemas.openxmlformats.org/spreadsheetml/2006/main" id="70" name="Tableau70" displayName="Tableau70" ref="A521:L526" totalsRowCount="1">
  <autoFilter ref="A521:L525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SUM(Tableau70[Taille (Bytes)])</totalsRowFormula>
    </tableColumn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7" name="Tableau7" displayName="Tableau7" ref="A57:L64" totalsRowCount="1">
  <autoFilter ref="A57:L63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SUM(Tableau7[Taille (Bytes)])</totalsRowFormula>
    </tableColumn>
  </tableColumns>
  <tableStyleInfo name="TableStyleMedium3" showFirstColumn="0" showLastColumn="0" showRowStripes="1" showColumnStripes="0"/>
</table>
</file>

<file path=xl/tables/table70.xml><?xml version="1.0" encoding="utf-8"?>
<table xmlns="http://schemas.openxmlformats.org/spreadsheetml/2006/main" id="71" name="Tableau71" displayName="Tableau71" ref="A528:L532" totalsRowCount="1">
  <autoFilter ref="A528:L531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SUM(Tableau71[Taille (Bytes)])</totalsRowFormula>
    </tableColumn>
  </tableColumns>
  <tableStyleInfo name="TableStyleMedium3" showFirstColumn="0" showLastColumn="0" showRowStripes="1" showColumnStripes="0"/>
</table>
</file>

<file path=xl/tables/table71.xml><?xml version="1.0" encoding="utf-8"?>
<table xmlns="http://schemas.openxmlformats.org/spreadsheetml/2006/main" id="72" name="Tableau72" displayName="Tableau72" ref="A7:H77" totalsRowCount="1">
  <autoFilter ref="A7:H76"/>
  <tableColumns count="8">
    <tableColumn id="1" name="Tables"/>
    <tableColumn id="2" name="Taille Maximum Par record (Bytes)"/>
    <tableColumn id="3" name="Nombre moyen PE"/>
    <tableColumn id="4" name="Nombre Moyen GE "/>
    <tableColumn id="5" name="Nombre Moyen MP" totalsRowLabel="Total Bytes"/>
    <tableColumn id="6" name="PE Estimation DB" totalsRowFunction="custom" dataDxfId="5" totalsRowDxfId="2">
      <calculatedColumnFormula>Tableau72[[#This Row],[Taille Maximum Par record (Bytes)]]*Tableau72[[#This Row],[Nombre moyen PE]]</calculatedColumnFormula>
      <totalsRowFormula>SUM(Tableau72[PE Estimation DB])</totalsRowFormula>
    </tableColumn>
    <tableColumn id="7" name="GE Estimation DB" totalsRowFunction="custom" dataDxfId="4" totalsRowDxfId="1">
      <calculatedColumnFormula>Tableau72[[#This Row],[Taille Maximum Par record (Bytes)]]*Tableau72[[#This Row],[Nombre Moyen GE ]]</calculatedColumnFormula>
      <totalsRowFormula>SUM(Tableau72[GE Estimation DB])</totalsRowFormula>
    </tableColumn>
    <tableColumn id="8" name="ME Estimation DB" totalsRowFunction="custom" dataDxfId="3" totalsRowDxfId="0">
      <calculatedColumnFormula>Tableau72[[#This Row],[Taille Maximum Par record (Bytes)]]*Tableau72[[#This Row],[Nombre Moyen MP]]</calculatedColumnFormula>
      <totalsRowFormula>SUM(Tableau72[ME Estimation DB])</totalsRowFormula>
    </tableColumn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id="8" name="Tableau8" displayName="Tableau8" ref="A66:L72" totalsRowCount="1">
  <autoFilter ref="A66:L71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SUM(Tableau8[Taille (Bytes)])</totalsRowFormula>
    </tableColumn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10" name="Tableau10" displayName="Tableau10" ref="A74:L77" totalsRowCount="1">
  <autoFilter ref="A74:L76"/>
  <tableColumns count="12">
    <tableColumn id="1" name="Column name"/>
    <tableColumn id="2" name="DataType"/>
    <tableColumn id="3" name="PK"/>
    <tableColumn id="4" name="NN"/>
    <tableColumn id="5" name="UQ"/>
    <tableColumn id="6" name="BIN"/>
    <tableColumn id="7" name="UN"/>
    <tableColumn id="8" name="ZF"/>
    <tableColumn id="9" name="AI"/>
    <tableColumn id="10" name="Default"/>
    <tableColumn id="11" name="Comment"/>
    <tableColumn id="12" name="Taille (Bytes)" totalsRowFunction="custom">
      <totalsRowFormula>SUM(Tableau10[Taille (Bytes)])</totalsRow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9" Type="http://schemas.openxmlformats.org/officeDocument/2006/relationships/table" Target="../tables/table38.xml"/><Relationship Id="rId21" Type="http://schemas.openxmlformats.org/officeDocument/2006/relationships/table" Target="../tables/table20.xml"/><Relationship Id="rId34" Type="http://schemas.openxmlformats.org/officeDocument/2006/relationships/table" Target="../tables/table33.xml"/><Relationship Id="rId42" Type="http://schemas.openxmlformats.org/officeDocument/2006/relationships/table" Target="../tables/table41.xml"/><Relationship Id="rId47" Type="http://schemas.openxmlformats.org/officeDocument/2006/relationships/table" Target="../tables/table46.xml"/><Relationship Id="rId50" Type="http://schemas.openxmlformats.org/officeDocument/2006/relationships/table" Target="../tables/table49.xml"/><Relationship Id="rId55" Type="http://schemas.openxmlformats.org/officeDocument/2006/relationships/table" Target="../tables/table54.xml"/><Relationship Id="rId63" Type="http://schemas.openxmlformats.org/officeDocument/2006/relationships/table" Target="../tables/table62.xml"/><Relationship Id="rId68" Type="http://schemas.openxmlformats.org/officeDocument/2006/relationships/table" Target="../tables/table67.xml"/><Relationship Id="rId7" Type="http://schemas.openxmlformats.org/officeDocument/2006/relationships/table" Target="../tables/table6.xml"/><Relationship Id="rId71" Type="http://schemas.openxmlformats.org/officeDocument/2006/relationships/table" Target="../tables/table70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9" Type="http://schemas.openxmlformats.org/officeDocument/2006/relationships/table" Target="../tables/table2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32" Type="http://schemas.openxmlformats.org/officeDocument/2006/relationships/table" Target="../tables/table31.xml"/><Relationship Id="rId37" Type="http://schemas.openxmlformats.org/officeDocument/2006/relationships/table" Target="../tables/table36.xml"/><Relationship Id="rId40" Type="http://schemas.openxmlformats.org/officeDocument/2006/relationships/table" Target="../tables/table39.xml"/><Relationship Id="rId45" Type="http://schemas.openxmlformats.org/officeDocument/2006/relationships/table" Target="../tables/table44.xml"/><Relationship Id="rId53" Type="http://schemas.openxmlformats.org/officeDocument/2006/relationships/table" Target="../tables/table52.xml"/><Relationship Id="rId58" Type="http://schemas.openxmlformats.org/officeDocument/2006/relationships/table" Target="../tables/table57.xml"/><Relationship Id="rId66" Type="http://schemas.openxmlformats.org/officeDocument/2006/relationships/table" Target="../tables/table65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36" Type="http://schemas.openxmlformats.org/officeDocument/2006/relationships/table" Target="../tables/table35.xml"/><Relationship Id="rId49" Type="http://schemas.openxmlformats.org/officeDocument/2006/relationships/table" Target="../tables/table48.xml"/><Relationship Id="rId57" Type="http://schemas.openxmlformats.org/officeDocument/2006/relationships/table" Target="../tables/table56.xml"/><Relationship Id="rId61" Type="http://schemas.openxmlformats.org/officeDocument/2006/relationships/table" Target="../tables/table60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31" Type="http://schemas.openxmlformats.org/officeDocument/2006/relationships/table" Target="../tables/table30.xml"/><Relationship Id="rId44" Type="http://schemas.openxmlformats.org/officeDocument/2006/relationships/table" Target="../tables/table43.xml"/><Relationship Id="rId52" Type="http://schemas.openxmlformats.org/officeDocument/2006/relationships/table" Target="../tables/table51.xml"/><Relationship Id="rId60" Type="http://schemas.openxmlformats.org/officeDocument/2006/relationships/table" Target="../tables/table59.xml"/><Relationship Id="rId65" Type="http://schemas.openxmlformats.org/officeDocument/2006/relationships/table" Target="../tables/table6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Relationship Id="rId35" Type="http://schemas.openxmlformats.org/officeDocument/2006/relationships/table" Target="../tables/table34.xml"/><Relationship Id="rId43" Type="http://schemas.openxmlformats.org/officeDocument/2006/relationships/table" Target="../tables/table42.xml"/><Relationship Id="rId48" Type="http://schemas.openxmlformats.org/officeDocument/2006/relationships/table" Target="../tables/table47.xml"/><Relationship Id="rId56" Type="http://schemas.openxmlformats.org/officeDocument/2006/relationships/table" Target="../tables/table55.xml"/><Relationship Id="rId64" Type="http://schemas.openxmlformats.org/officeDocument/2006/relationships/table" Target="../tables/table63.xml"/><Relationship Id="rId69" Type="http://schemas.openxmlformats.org/officeDocument/2006/relationships/table" Target="../tables/table68.xml"/><Relationship Id="rId8" Type="http://schemas.openxmlformats.org/officeDocument/2006/relationships/table" Target="../tables/table7.xml"/><Relationship Id="rId51" Type="http://schemas.openxmlformats.org/officeDocument/2006/relationships/table" Target="../tables/table50.xml"/><Relationship Id="rId3" Type="http://schemas.openxmlformats.org/officeDocument/2006/relationships/table" Target="../tables/table2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33" Type="http://schemas.openxmlformats.org/officeDocument/2006/relationships/table" Target="../tables/table32.xml"/><Relationship Id="rId38" Type="http://schemas.openxmlformats.org/officeDocument/2006/relationships/table" Target="../tables/table37.xml"/><Relationship Id="rId46" Type="http://schemas.openxmlformats.org/officeDocument/2006/relationships/table" Target="../tables/table45.xml"/><Relationship Id="rId59" Type="http://schemas.openxmlformats.org/officeDocument/2006/relationships/table" Target="../tables/table58.xml"/><Relationship Id="rId67" Type="http://schemas.openxmlformats.org/officeDocument/2006/relationships/table" Target="../tables/table66.xml"/><Relationship Id="rId20" Type="http://schemas.openxmlformats.org/officeDocument/2006/relationships/table" Target="../tables/table19.xml"/><Relationship Id="rId41" Type="http://schemas.openxmlformats.org/officeDocument/2006/relationships/table" Target="../tables/table40.xml"/><Relationship Id="rId54" Type="http://schemas.openxmlformats.org/officeDocument/2006/relationships/table" Target="../tables/table53.xml"/><Relationship Id="rId62" Type="http://schemas.openxmlformats.org/officeDocument/2006/relationships/table" Target="../tables/table61.xml"/><Relationship Id="rId70" Type="http://schemas.openxmlformats.org/officeDocument/2006/relationships/table" Target="../tables/table6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2"/>
  <sheetViews>
    <sheetView topLeftCell="A368" workbookViewId="0">
      <selection activeCell="A388" sqref="A388"/>
    </sheetView>
  </sheetViews>
  <sheetFormatPr baseColWidth="10" defaultRowHeight="15" x14ac:dyDescent="0.25"/>
  <cols>
    <col min="1" max="1" width="25" customWidth="1"/>
    <col min="5" max="5" width="7.140625" customWidth="1"/>
    <col min="6" max="6" width="6.140625" customWidth="1"/>
    <col min="7" max="7" width="6.42578125" customWidth="1"/>
    <col min="8" max="9" width="5.140625" customWidth="1"/>
    <col min="11" max="11" width="33" customWidth="1"/>
    <col min="12" max="12" width="12.7109375" customWidth="1"/>
  </cols>
  <sheetData>
    <row r="1" spans="1:12" x14ac:dyDescent="0.25">
      <c r="A1" t="s">
        <v>352</v>
      </c>
    </row>
    <row r="2" spans="1:12" x14ac:dyDescent="0.25">
      <c r="A2" t="s">
        <v>69</v>
      </c>
      <c r="B2" t="s">
        <v>70</v>
      </c>
      <c r="C2" t="s">
        <v>71</v>
      </c>
      <c r="D2" t="s">
        <v>72</v>
      </c>
      <c r="E2" t="s">
        <v>73</v>
      </c>
      <c r="F2" t="s">
        <v>74</v>
      </c>
      <c r="G2" t="s">
        <v>75</v>
      </c>
      <c r="H2" t="s">
        <v>76</v>
      </c>
      <c r="I2" t="s">
        <v>77</v>
      </c>
      <c r="J2" t="s">
        <v>78</v>
      </c>
      <c r="K2" t="s">
        <v>79</v>
      </c>
      <c r="L2" t="s">
        <v>324</v>
      </c>
    </row>
    <row r="3" spans="1:12" x14ac:dyDescent="0.25">
      <c r="A3" t="s">
        <v>353</v>
      </c>
      <c r="B3" t="s">
        <v>80</v>
      </c>
      <c r="C3" t="s">
        <v>81</v>
      </c>
      <c r="D3" t="s">
        <v>81</v>
      </c>
      <c r="K3" t="s">
        <v>82</v>
      </c>
      <c r="L3">
        <v>4</v>
      </c>
    </row>
    <row r="4" spans="1:12" x14ac:dyDescent="0.25">
      <c r="A4" t="s">
        <v>354</v>
      </c>
      <c r="B4" t="s">
        <v>83</v>
      </c>
      <c r="K4" t="s">
        <v>84</v>
      </c>
      <c r="L4">
        <v>3</v>
      </c>
    </row>
    <row r="5" spans="1:12" x14ac:dyDescent="0.25">
      <c r="A5" t="s">
        <v>355</v>
      </c>
      <c r="B5" t="s">
        <v>83</v>
      </c>
      <c r="K5" t="s">
        <v>85</v>
      </c>
      <c r="L5">
        <v>3</v>
      </c>
    </row>
    <row r="6" spans="1:12" x14ac:dyDescent="0.25">
      <c r="A6" t="s">
        <v>356</v>
      </c>
      <c r="B6" t="s">
        <v>80</v>
      </c>
      <c r="K6" t="s">
        <v>86</v>
      </c>
      <c r="L6">
        <v>4</v>
      </c>
    </row>
    <row r="7" spans="1:12" x14ac:dyDescent="0.25">
      <c r="A7" t="s">
        <v>357</v>
      </c>
      <c r="B7" t="s">
        <v>83</v>
      </c>
      <c r="K7" t="s">
        <v>87</v>
      </c>
      <c r="L7">
        <v>3</v>
      </c>
    </row>
    <row r="8" spans="1:12" x14ac:dyDescent="0.25">
      <c r="A8" t="s">
        <v>358</v>
      </c>
      <c r="B8" t="s">
        <v>80</v>
      </c>
      <c r="K8" t="s">
        <v>88</v>
      </c>
      <c r="L8">
        <v>4</v>
      </c>
    </row>
    <row r="9" spans="1:12" x14ac:dyDescent="0.25">
      <c r="A9" t="s">
        <v>359</v>
      </c>
      <c r="B9" t="s">
        <v>80</v>
      </c>
      <c r="K9" t="s">
        <v>89</v>
      </c>
      <c r="L9">
        <v>4</v>
      </c>
    </row>
    <row r="10" spans="1:12" x14ac:dyDescent="0.25">
      <c r="A10" t="s">
        <v>90</v>
      </c>
      <c r="B10" t="s">
        <v>80</v>
      </c>
      <c r="C10" t="s">
        <v>81</v>
      </c>
      <c r="D10" t="s">
        <v>81</v>
      </c>
      <c r="K10" t="s">
        <v>91</v>
      </c>
      <c r="L10">
        <v>4</v>
      </c>
    </row>
    <row r="11" spans="1:12" x14ac:dyDescent="0.25">
      <c r="L11">
        <f>SUM(L3:L10)</f>
        <v>29</v>
      </c>
    </row>
    <row r="12" spans="1:12" x14ac:dyDescent="0.25">
      <c r="A12" s="4" t="s">
        <v>360</v>
      </c>
    </row>
    <row r="13" spans="1:12" x14ac:dyDescent="0.25">
      <c r="A13" t="s">
        <v>69</v>
      </c>
      <c r="B13" t="s">
        <v>70</v>
      </c>
      <c r="C13" t="s">
        <v>71</v>
      </c>
      <c r="D13" t="s">
        <v>72</v>
      </c>
      <c r="E13" t="s">
        <v>73</v>
      </c>
      <c r="F13" t="s">
        <v>74</v>
      </c>
      <c r="G13" t="s">
        <v>75</v>
      </c>
      <c r="H13" t="s">
        <v>76</v>
      </c>
      <c r="I13" t="s">
        <v>77</v>
      </c>
      <c r="J13" t="s">
        <v>78</v>
      </c>
      <c r="K13" t="s">
        <v>79</v>
      </c>
      <c r="L13" t="s">
        <v>325</v>
      </c>
    </row>
    <row r="14" spans="1:12" x14ac:dyDescent="0.25">
      <c r="A14" t="s">
        <v>361</v>
      </c>
      <c r="B14" t="s">
        <v>80</v>
      </c>
      <c r="C14" t="s">
        <v>81</v>
      </c>
      <c r="D14" t="s">
        <v>81</v>
      </c>
      <c r="K14" t="s">
        <v>92</v>
      </c>
      <c r="L14">
        <v>4</v>
      </c>
    </row>
    <row r="15" spans="1:12" x14ac:dyDescent="0.25">
      <c r="A15" t="s">
        <v>362</v>
      </c>
      <c r="B15" t="s">
        <v>80</v>
      </c>
      <c r="K15" t="s">
        <v>93</v>
      </c>
      <c r="L15">
        <v>4</v>
      </c>
    </row>
    <row r="16" spans="1:12" x14ac:dyDescent="0.25">
      <c r="A16" t="s">
        <v>363</v>
      </c>
      <c r="B16" t="s">
        <v>94</v>
      </c>
      <c r="K16" t="s">
        <v>95</v>
      </c>
      <c r="L16">
        <v>46</v>
      </c>
    </row>
    <row r="17" spans="1:12" x14ac:dyDescent="0.25">
      <c r="A17" t="s">
        <v>364</v>
      </c>
      <c r="B17" t="s">
        <v>83</v>
      </c>
      <c r="K17" t="s">
        <v>96</v>
      </c>
      <c r="L17">
        <v>3</v>
      </c>
    </row>
    <row r="18" spans="1:12" x14ac:dyDescent="0.25">
      <c r="L18">
        <f>SUM(Tableau2[Taille (Bytes)])</f>
        <v>57</v>
      </c>
    </row>
    <row r="19" spans="1:12" x14ac:dyDescent="0.25">
      <c r="A19" t="s">
        <v>365</v>
      </c>
    </row>
    <row r="20" spans="1:12" x14ac:dyDescent="0.25">
      <c r="A20" t="s">
        <v>69</v>
      </c>
      <c r="B20" t="s">
        <v>70</v>
      </c>
      <c r="C20" t="s">
        <v>71</v>
      </c>
      <c r="D20" t="s">
        <v>72</v>
      </c>
      <c r="E20" t="s">
        <v>73</v>
      </c>
      <c r="F20" t="s">
        <v>74</v>
      </c>
      <c r="G20" t="s">
        <v>75</v>
      </c>
      <c r="H20" t="s">
        <v>76</v>
      </c>
      <c r="I20" t="s">
        <v>77</v>
      </c>
      <c r="J20" t="s">
        <v>78</v>
      </c>
      <c r="K20" t="s">
        <v>79</v>
      </c>
      <c r="L20" t="s">
        <v>325</v>
      </c>
    </row>
    <row r="21" spans="1:12" x14ac:dyDescent="0.25">
      <c r="A21" t="s">
        <v>366</v>
      </c>
      <c r="B21" t="s">
        <v>80</v>
      </c>
      <c r="C21" t="s">
        <v>81</v>
      </c>
      <c r="D21" t="s">
        <v>81</v>
      </c>
      <c r="K21" t="s">
        <v>97</v>
      </c>
      <c r="L21">
        <v>4</v>
      </c>
    </row>
    <row r="22" spans="1:12" x14ac:dyDescent="0.25">
      <c r="A22" t="s">
        <v>367</v>
      </c>
      <c r="B22" t="s">
        <v>80</v>
      </c>
      <c r="K22" t="s">
        <v>98</v>
      </c>
      <c r="L22">
        <v>4</v>
      </c>
    </row>
    <row r="23" spans="1:12" x14ac:dyDescent="0.25">
      <c r="A23" t="s">
        <v>368</v>
      </c>
      <c r="B23" t="s">
        <v>80</v>
      </c>
      <c r="K23" t="s">
        <v>99</v>
      </c>
      <c r="L23">
        <v>4</v>
      </c>
    </row>
    <row r="24" spans="1:12" x14ac:dyDescent="0.25">
      <c r="A24" t="s">
        <v>369</v>
      </c>
      <c r="B24" t="s">
        <v>83</v>
      </c>
      <c r="D24" t="s">
        <v>81</v>
      </c>
      <c r="K24" t="s">
        <v>100</v>
      </c>
      <c r="L24">
        <v>3</v>
      </c>
    </row>
    <row r="25" spans="1:12" x14ac:dyDescent="0.25">
      <c r="A25" t="s">
        <v>370</v>
      </c>
      <c r="B25" t="s">
        <v>83</v>
      </c>
      <c r="K25" t="s">
        <v>101</v>
      </c>
      <c r="L25">
        <v>3</v>
      </c>
    </row>
    <row r="26" spans="1:12" x14ac:dyDescent="0.25">
      <c r="A26" t="s">
        <v>371</v>
      </c>
      <c r="B26" t="s">
        <v>80</v>
      </c>
      <c r="K26" t="s">
        <v>102</v>
      </c>
      <c r="L26">
        <v>4</v>
      </c>
    </row>
    <row r="27" spans="1:12" x14ac:dyDescent="0.25">
      <c r="A27" t="s">
        <v>372</v>
      </c>
      <c r="B27" t="s">
        <v>80</v>
      </c>
      <c r="K27" t="s">
        <v>103</v>
      </c>
      <c r="L27">
        <v>4</v>
      </c>
    </row>
    <row r="28" spans="1:12" x14ac:dyDescent="0.25">
      <c r="L28">
        <f>SUM(Tableau3[Taille (Bytes)])</f>
        <v>26</v>
      </c>
    </row>
    <row r="29" spans="1:12" x14ac:dyDescent="0.25">
      <c r="A29" s="5" t="s">
        <v>373</v>
      </c>
    </row>
    <row r="30" spans="1:12" x14ac:dyDescent="0.25">
      <c r="A30" t="s">
        <v>69</v>
      </c>
      <c r="B30" t="s">
        <v>70</v>
      </c>
      <c r="C30" t="s">
        <v>71</v>
      </c>
      <c r="D30" t="s">
        <v>72</v>
      </c>
      <c r="E30" t="s">
        <v>73</v>
      </c>
      <c r="F30" t="s">
        <v>74</v>
      </c>
      <c r="G30" t="s">
        <v>75</v>
      </c>
      <c r="H30" t="s">
        <v>76</v>
      </c>
      <c r="I30" t="s">
        <v>77</v>
      </c>
      <c r="J30" t="s">
        <v>78</v>
      </c>
      <c r="K30" t="s">
        <v>79</v>
      </c>
      <c r="L30" t="s">
        <v>325</v>
      </c>
    </row>
    <row r="31" spans="1:12" x14ac:dyDescent="0.25">
      <c r="A31" t="s">
        <v>374</v>
      </c>
      <c r="B31" t="s">
        <v>80</v>
      </c>
      <c r="C31" t="s">
        <v>81</v>
      </c>
      <c r="D31" t="s">
        <v>81</v>
      </c>
      <c r="K31" t="s">
        <v>82</v>
      </c>
      <c r="L31">
        <v>4</v>
      </c>
    </row>
    <row r="32" spans="1:12" x14ac:dyDescent="0.25">
      <c r="A32" t="s">
        <v>375</v>
      </c>
      <c r="B32" t="s">
        <v>80</v>
      </c>
      <c r="D32" t="s">
        <v>81</v>
      </c>
      <c r="K32" t="s">
        <v>104</v>
      </c>
      <c r="L32">
        <v>4</v>
      </c>
    </row>
    <row r="33" spans="1:12" x14ac:dyDescent="0.25">
      <c r="A33" t="s">
        <v>376</v>
      </c>
      <c r="B33" t="s">
        <v>83</v>
      </c>
      <c r="D33" t="s">
        <v>81</v>
      </c>
      <c r="K33" t="s">
        <v>105</v>
      </c>
      <c r="L33">
        <v>3</v>
      </c>
    </row>
    <row r="34" spans="1:12" x14ac:dyDescent="0.25">
      <c r="A34" t="s">
        <v>377</v>
      </c>
      <c r="B34" t="s">
        <v>83</v>
      </c>
      <c r="D34" t="s">
        <v>81</v>
      </c>
      <c r="K34" t="s">
        <v>106</v>
      </c>
      <c r="L34">
        <v>3</v>
      </c>
    </row>
    <row r="35" spans="1:12" x14ac:dyDescent="0.25">
      <c r="A35" t="s">
        <v>378</v>
      </c>
      <c r="B35" t="s">
        <v>83</v>
      </c>
      <c r="D35" t="s">
        <v>81</v>
      </c>
      <c r="K35" t="s">
        <v>107</v>
      </c>
      <c r="L35">
        <v>3</v>
      </c>
    </row>
    <row r="36" spans="1:12" x14ac:dyDescent="0.25">
      <c r="A36" t="s">
        <v>379</v>
      </c>
      <c r="B36" t="s">
        <v>80</v>
      </c>
      <c r="D36" t="s">
        <v>81</v>
      </c>
      <c r="K36" t="s">
        <v>108</v>
      </c>
      <c r="L36">
        <v>4</v>
      </c>
    </row>
    <row r="37" spans="1:12" x14ac:dyDescent="0.25">
      <c r="A37" t="s">
        <v>380</v>
      </c>
      <c r="B37" t="s">
        <v>109</v>
      </c>
      <c r="K37" t="s">
        <v>110</v>
      </c>
      <c r="L37">
        <v>4</v>
      </c>
    </row>
    <row r="38" spans="1:12" x14ac:dyDescent="0.25">
      <c r="L38">
        <f>SUM(Tableau4[Taille (Bytes)])</f>
        <v>25</v>
      </c>
    </row>
    <row r="39" spans="1:12" x14ac:dyDescent="0.25">
      <c r="A39" t="s">
        <v>381</v>
      </c>
    </row>
    <row r="40" spans="1:12" x14ac:dyDescent="0.25">
      <c r="A40" t="s">
        <v>69</v>
      </c>
      <c r="B40" t="s">
        <v>70</v>
      </c>
      <c r="C40" t="s">
        <v>71</v>
      </c>
      <c r="D40" t="s">
        <v>72</v>
      </c>
      <c r="E40" t="s">
        <v>73</v>
      </c>
      <c r="F40" t="s">
        <v>74</v>
      </c>
      <c r="G40" t="s">
        <v>75</v>
      </c>
      <c r="H40" t="s">
        <v>76</v>
      </c>
      <c r="I40" t="s">
        <v>77</v>
      </c>
      <c r="J40" t="s">
        <v>78</v>
      </c>
      <c r="K40" t="s">
        <v>79</v>
      </c>
      <c r="L40" t="s">
        <v>325</v>
      </c>
    </row>
    <row r="41" spans="1:12" x14ac:dyDescent="0.25">
      <c r="A41" t="s">
        <v>382</v>
      </c>
      <c r="B41" t="s">
        <v>80</v>
      </c>
      <c r="C41" t="s">
        <v>81</v>
      </c>
      <c r="D41" t="s">
        <v>81</v>
      </c>
      <c r="K41" t="s">
        <v>111</v>
      </c>
      <c r="L41">
        <v>4</v>
      </c>
    </row>
    <row r="42" spans="1:12" x14ac:dyDescent="0.25">
      <c r="A42" t="s">
        <v>383</v>
      </c>
      <c r="B42" t="s">
        <v>112</v>
      </c>
      <c r="D42" t="s">
        <v>81</v>
      </c>
      <c r="K42" t="s">
        <v>113</v>
      </c>
      <c r="L42">
        <v>61</v>
      </c>
    </row>
    <row r="43" spans="1:12" x14ac:dyDescent="0.25">
      <c r="L43">
        <f>SUM(Tableau5[Taille (Bytes)])</f>
        <v>65</v>
      </c>
    </row>
    <row r="44" spans="1:12" x14ac:dyDescent="0.25">
      <c r="A44" t="s">
        <v>384</v>
      </c>
    </row>
    <row r="45" spans="1:12" x14ac:dyDescent="0.25">
      <c r="A45" t="s">
        <v>69</v>
      </c>
      <c r="B45" t="s">
        <v>70</v>
      </c>
      <c r="C45" t="s">
        <v>71</v>
      </c>
      <c r="D45" t="s">
        <v>72</v>
      </c>
      <c r="E45" t="s">
        <v>73</v>
      </c>
      <c r="F45" t="s">
        <v>74</v>
      </c>
      <c r="G45" t="s">
        <v>75</v>
      </c>
      <c r="H45" t="s">
        <v>76</v>
      </c>
      <c r="I45" t="s">
        <v>77</v>
      </c>
      <c r="J45" t="s">
        <v>78</v>
      </c>
      <c r="K45" t="s">
        <v>79</v>
      </c>
      <c r="L45" t="s">
        <v>325</v>
      </c>
    </row>
    <row r="46" spans="1:12" x14ac:dyDescent="0.25">
      <c r="A46" t="s">
        <v>385</v>
      </c>
      <c r="B46" t="s">
        <v>80</v>
      </c>
      <c r="C46" t="s">
        <v>81</v>
      </c>
      <c r="D46" t="s">
        <v>81</v>
      </c>
      <c r="K46" t="s">
        <v>114</v>
      </c>
      <c r="L46">
        <v>4</v>
      </c>
    </row>
    <row r="47" spans="1:12" x14ac:dyDescent="0.25">
      <c r="A47" t="s">
        <v>386</v>
      </c>
      <c r="B47" t="s">
        <v>94</v>
      </c>
      <c r="D47" t="s">
        <v>81</v>
      </c>
      <c r="K47" t="s">
        <v>115</v>
      </c>
      <c r="L47">
        <v>46</v>
      </c>
    </row>
    <row r="48" spans="1:12" x14ac:dyDescent="0.25">
      <c r="A48" t="s">
        <v>387</v>
      </c>
      <c r="B48" t="s">
        <v>80</v>
      </c>
      <c r="D48" t="s">
        <v>81</v>
      </c>
      <c r="K48" t="s">
        <v>116</v>
      </c>
      <c r="L48">
        <v>4</v>
      </c>
    </row>
    <row r="49" spans="1:12" x14ac:dyDescent="0.25">
      <c r="A49" t="s">
        <v>388</v>
      </c>
      <c r="B49" t="s">
        <v>80</v>
      </c>
      <c r="K49" t="s">
        <v>117</v>
      </c>
      <c r="L49">
        <v>4</v>
      </c>
    </row>
    <row r="50" spans="1:12" x14ac:dyDescent="0.25">
      <c r="A50" t="s">
        <v>389</v>
      </c>
      <c r="B50" t="s">
        <v>80</v>
      </c>
      <c r="K50" t="s">
        <v>118</v>
      </c>
      <c r="L50">
        <v>4</v>
      </c>
    </row>
    <row r="51" spans="1:12" x14ac:dyDescent="0.25">
      <c r="A51" t="s">
        <v>390</v>
      </c>
      <c r="B51" t="s">
        <v>83</v>
      </c>
      <c r="K51" t="s">
        <v>119</v>
      </c>
      <c r="L51">
        <v>3</v>
      </c>
    </row>
    <row r="52" spans="1:12" x14ac:dyDescent="0.25">
      <c r="A52" t="s">
        <v>391</v>
      </c>
      <c r="B52" t="s">
        <v>120</v>
      </c>
      <c r="K52" t="s">
        <v>121</v>
      </c>
      <c r="L52">
        <v>1</v>
      </c>
    </row>
    <row r="53" spans="1:12" x14ac:dyDescent="0.25">
      <c r="A53" t="s">
        <v>392</v>
      </c>
      <c r="B53" t="s">
        <v>122</v>
      </c>
      <c r="K53" t="s">
        <v>123</v>
      </c>
      <c r="L53">
        <v>201</v>
      </c>
    </row>
    <row r="54" spans="1:12" x14ac:dyDescent="0.25">
      <c r="A54" t="s">
        <v>393</v>
      </c>
      <c r="B54" t="s">
        <v>80</v>
      </c>
      <c r="K54" t="s">
        <v>124</v>
      </c>
      <c r="L54">
        <v>4</v>
      </c>
    </row>
    <row r="55" spans="1:12" x14ac:dyDescent="0.25">
      <c r="L55">
        <f>SUM(Tableau6[Taille (Bytes)])</f>
        <v>271</v>
      </c>
    </row>
    <row r="56" spans="1:12" x14ac:dyDescent="0.25">
      <c r="A56" s="4" t="s">
        <v>394</v>
      </c>
    </row>
    <row r="57" spans="1:12" x14ac:dyDescent="0.25">
      <c r="A57" t="s">
        <v>69</v>
      </c>
      <c r="B57" t="s">
        <v>70</v>
      </c>
      <c r="C57" t="s">
        <v>71</v>
      </c>
      <c r="D57" t="s">
        <v>72</v>
      </c>
      <c r="E57" t="s">
        <v>73</v>
      </c>
      <c r="F57" t="s">
        <v>74</v>
      </c>
      <c r="G57" t="s">
        <v>75</v>
      </c>
      <c r="H57" t="s">
        <v>76</v>
      </c>
      <c r="I57" t="s">
        <v>77</v>
      </c>
      <c r="J57" t="s">
        <v>78</v>
      </c>
      <c r="K57" t="s">
        <v>79</v>
      </c>
      <c r="L57" t="s">
        <v>325</v>
      </c>
    </row>
    <row r="58" spans="1:12" x14ac:dyDescent="0.25">
      <c r="A58" t="s">
        <v>395</v>
      </c>
      <c r="B58" t="s">
        <v>80</v>
      </c>
      <c r="C58" t="s">
        <v>81</v>
      </c>
      <c r="D58" t="s">
        <v>81</v>
      </c>
      <c r="K58" t="s">
        <v>82</v>
      </c>
      <c r="L58">
        <v>4</v>
      </c>
    </row>
    <row r="59" spans="1:12" x14ac:dyDescent="0.25">
      <c r="A59" t="s">
        <v>396</v>
      </c>
      <c r="B59" t="s">
        <v>80</v>
      </c>
      <c r="K59" t="s">
        <v>125</v>
      </c>
      <c r="L59">
        <v>4</v>
      </c>
    </row>
    <row r="60" spans="1:12" x14ac:dyDescent="0.25">
      <c r="A60" t="s">
        <v>397</v>
      </c>
      <c r="B60" t="s">
        <v>109</v>
      </c>
      <c r="K60" t="s">
        <v>126</v>
      </c>
      <c r="L60">
        <v>4</v>
      </c>
    </row>
    <row r="61" spans="1:12" x14ac:dyDescent="0.25">
      <c r="A61" t="s">
        <v>398</v>
      </c>
      <c r="B61" t="s">
        <v>109</v>
      </c>
      <c r="K61" t="s">
        <v>127</v>
      </c>
      <c r="L61">
        <v>4</v>
      </c>
    </row>
    <row r="62" spans="1:12" x14ac:dyDescent="0.25">
      <c r="A62" t="s">
        <v>399</v>
      </c>
      <c r="B62" t="s">
        <v>80</v>
      </c>
      <c r="K62" t="s">
        <v>128</v>
      </c>
      <c r="L62">
        <v>4</v>
      </c>
    </row>
    <row r="63" spans="1:12" x14ac:dyDescent="0.25">
      <c r="A63" t="s">
        <v>400</v>
      </c>
      <c r="B63" t="s">
        <v>80</v>
      </c>
      <c r="K63" t="s">
        <v>129</v>
      </c>
      <c r="L63">
        <v>4</v>
      </c>
    </row>
    <row r="64" spans="1:12" x14ac:dyDescent="0.25">
      <c r="L64">
        <f>SUM(Tableau7[Taille (Bytes)])</f>
        <v>24</v>
      </c>
    </row>
    <row r="65" spans="1:12" x14ac:dyDescent="0.25">
      <c r="A65" t="s">
        <v>401</v>
      </c>
    </row>
    <row r="66" spans="1:12" x14ac:dyDescent="0.25">
      <c r="A66" t="s">
        <v>69</v>
      </c>
      <c r="B66" t="s">
        <v>70</v>
      </c>
      <c r="C66" t="s">
        <v>71</v>
      </c>
      <c r="D66" t="s">
        <v>72</v>
      </c>
      <c r="E66" t="s">
        <v>73</v>
      </c>
      <c r="F66" t="s">
        <v>74</v>
      </c>
      <c r="G66" t="s">
        <v>75</v>
      </c>
      <c r="H66" t="s">
        <v>76</v>
      </c>
      <c r="I66" t="s">
        <v>77</v>
      </c>
      <c r="J66" t="s">
        <v>78</v>
      </c>
      <c r="K66" t="s">
        <v>79</v>
      </c>
      <c r="L66" t="s">
        <v>325</v>
      </c>
    </row>
    <row r="67" spans="1:12" x14ac:dyDescent="0.25">
      <c r="A67" t="s">
        <v>402</v>
      </c>
      <c r="B67" t="s">
        <v>80</v>
      </c>
      <c r="C67" t="s">
        <v>81</v>
      </c>
      <c r="D67" t="s">
        <v>81</v>
      </c>
      <c r="K67" t="s">
        <v>92</v>
      </c>
      <c r="L67">
        <v>4</v>
      </c>
    </row>
    <row r="68" spans="1:12" x14ac:dyDescent="0.25">
      <c r="A68" t="s">
        <v>403</v>
      </c>
      <c r="B68" t="s">
        <v>80</v>
      </c>
      <c r="D68" t="s">
        <v>81</v>
      </c>
      <c r="K68" t="s">
        <v>130</v>
      </c>
      <c r="L68">
        <v>4</v>
      </c>
    </row>
    <row r="69" spans="1:12" x14ac:dyDescent="0.25">
      <c r="A69" t="s">
        <v>404</v>
      </c>
      <c r="B69" t="s">
        <v>83</v>
      </c>
      <c r="K69" t="s">
        <v>131</v>
      </c>
      <c r="L69">
        <v>3</v>
      </c>
    </row>
    <row r="70" spans="1:12" x14ac:dyDescent="0.25">
      <c r="A70" t="s">
        <v>405</v>
      </c>
      <c r="B70" t="s">
        <v>83</v>
      </c>
      <c r="K70" t="s">
        <v>132</v>
      </c>
      <c r="L70">
        <v>3</v>
      </c>
    </row>
    <row r="71" spans="1:12" x14ac:dyDescent="0.25">
      <c r="A71" t="s">
        <v>406</v>
      </c>
      <c r="B71" t="s">
        <v>80</v>
      </c>
      <c r="K71" t="s">
        <v>133</v>
      </c>
      <c r="L71">
        <v>4</v>
      </c>
    </row>
    <row r="72" spans="1:12" x14ac:dyDescent="0.25">
      <c r="L72">
        <f>SUM(Tableau8[Taille (Bytes)])</f>
        <v>18</v>
      </c>
    </row>
    <row r="73" spans="1:12" x14ac:dyDescent="0.25">
      <c r="A73" s="5" t="s">
        <v>407</v>
      </c>
    </row>
    <row r="74" spans="1:12" x14ac:dyDescent="0.25">
      <c r="A74" t="s">
        <v>69</v>
      </c>
      <c r="B74" t="s">
        <v>70</v>
      </c>
      <c r="C74" t="s">
        <v>71</v>
      </c>
      <c r="D74" t="s">
        <v>72</v>
      </c>
      <c r="E74" t="s">
        <v>73</v>
      </c>
      <c r="F74" t="s">
        <v>74</v>
      </c>
      <c r="G74" t="s">
        <v>75</v>
      </c>
      <c r="H74" t="s">
        <v>76</v>
      </c>
      <c r="I74" t="s">
        <v>77</v>
      </c>
      <c r="J74" t="s">
        <v>78</v>
      </c>
      <c r="K74" t="s">
        <v>79</v>
      </c>
      <c r="L74" t="s">
        <v>325</v>
      </c>
    </row>
    <row r="75" spans="1:12" x14ac:dyDescent="0.25">
      <c r="A75" t="s">
        <v>408</v>
      </c>
      <c r="B75" t="s">
        <v>80</v>
      </c>
      <c r="D75" t="s">
        <v>81</v>
      </c>
      <c r="L75">
        <v>4</v>
      </c>
    </row>
    <row r="76" spans="1:12" x14ac:dyDescent="0.25">
      <c r="A76" t="s">
        <v>409</v>
      </c>
      <c r="B76" t="s">
        <v>80</v>
      </c>
      <c r="D76" t="s">
        <v>81</v>
      </c>
      <c r="L76">
        <v>4</v>
      </c>
    </row>
    <row r="77" spans="1:12" x14ac:dyDescent="0.25">
      <c r="L77">
        <f>SUM(Tableau10[Taille (Bytes)])</f>
        <v>8</v>
      </c>
    </row>
    <row r="78" spans="1:12" x14ac:dyDescent="0.25">
      <c r="A78" s="4" t="s">
        <v>410</v>
      </c>
    </row>
    <row r="79" spans="1:12" x14ac:dyDescent="0.25">
      <c r="A79" t="s">
        <v>69</v>
      </c>
      <c r="B79" t="s">
        <v>70</v>
      </c>
      <c r="C79" t="s">
        <v>71</v>
      </c>
      <c r="D79" t="s">
        <v>72</v>
      </c>
      <c r="E79" t="s">
        <v>73</v>
      </c>
      <c r="F79" t="s">
        <v>74</v>
      </c>
      <c r="G79" t="s">
        <v>75</v>
      </c>
      <c r="H79" t="s">
        <v>76</v>
      </c>
      <c r="I79" t="s">
        <v>77</v>
      </c>
      <c r="J79" t="s">
        <v>78</v>
      </c>
      <c r="K79" t="s">
        <v>79</v>
      </c>
      <c r="L79" t="s">
        <v>325</v>
      </c>
    </row>
    <row r="80" spans="1:12" x14ac:dyDescent="0.25">
      <c r="A80" t="s">
        <v>411</v>
      </c>
      <c r="B80" t="s">
        <v>80</v>
      </c>
      <c r="C80" t="s">
        <v>81</v>
      </c>
      <c r="D80" t="s">
        <v>81</v>
      </c>
      <c r="K80" t="s">
        <v>82</v>
      </c>
      <c r="L80">
        <v>4</v>
      </c>
    </row>
    <row r="81" spans="1:12" x14ac:dyDescent="0.25">
      <c r="A81" t="s">
        <v>396</v>
      </c>
      <c r="B81" t="s">
        <v>80</v>
      </c>
      <c r="D81" t="s">
        <v>81</v>
      </c>
      <c r="K81" t="s">
        <v>134</v>
      </c>
      <c r="L81">
        <v>4</v>
      </c>
    </row>
    <row r="82" spans="1:12" x14ac:dyDescent="0.25">
      <c r="A82" t="s">
        <v>412</v>
      </c>
      <c r="B82" t="s">
        <v>94</v>
      </c>
      <c r="D82" t="s">
        <v>81</v>
      </c>
      <c r="K82" t="s">
        <v>135</v>
      </c>
      <c r="L82">
        <v>46</v>
      </c>
    </row>
    <row r="83" spans="1:12" x14ac:dyDescent="0.25">
      <c r="A83" t="s">
        <v>413</v>
      </c>
      <c r="B83" t="s">
        <v>109</v>
      </c>
      <c r="D83" t="s">
        <v>81</v>
      </c>
      <c r="K83" t="s">
        <v>136</v>
      </c>
      <c r="L83">
        <v>4</v>
      </c>
    </row>
    <row r="84" spans="1:12" x14ac:dyDescent="0.25">
      <c r="A84" t="s">
        <v>414</v>
      </c>
      <c r="B84" t="s">
        <v>94</v>
      </c>
      <c r="D84" t="s">
        <v>81</v>
      </c>
      <c r="K84" t="s">
        <v>137</v>
      </c>
      <c r="L84">
        <v>46</v>
      </c>
    </row>
    <row r="85" spans="1:12" x14ac:dyDescent="0.25">
      <c r="A85" t="s">
        <v>415</v>
      </c>
      <c r="B85" t="s">
        <v>80</v>
      </c>
      <c r="D85" t="s">
        <v>81</v>
      </c>
      <c r="K85" t="s">
        <v>138</v>
      </c>
      <c r="L85">
        <v>4</v>
      </c>
    </row>
    <row r="86" spans="1:12" x14ac:dyDescent="0.25">
      <c r="A86" t="s">
        <v>416</v>
      </c>
      <c r="B86" t="s">
        <v>83</v>
      </c>
      <c r="D86" t="s">
        <v>81</v>
      </c>
      <c r="K86" t="s">
        <v>131</v>
      </c>
      <c r="L86">
        <v>3</v>
      </c>
    </row>
    <row r="87" spans="1:12" x14ac:dyDescent="0.25">
      <c r="A87" t="s">
        <v>417</v>
      </c>
      <c r="B87" t="s">
        <v>83</v>
      </c>
      <c r="K87" t="s">
        <v>139</v>
      </c>
      <c r="L87">
        <v>3</v>
      </c>
    </row>
    <row r="88" spans="1:12" x14ac:dyDescent="0.25">
      <c r="L88">
        <f>SUM(Tableau11[Taille (Bytes)])</f>
        <v>114</v>
      </c>
    </row>
    <row r="89" spans="1:12" x14ac:dyDescent="0.25">
      <c r="A89" t="s">
        <v>418</v>
      </c>
    </row>
    <row r="90" spans="1:12" x14ac:dyDescent="0.25">
      <c r="A90" t="s">
        <v>69</v>
      </c>
      <c r="B90" t="s">
        <v>70</v>
      </c>
      <c r="C90" t="s">
        <v>71</v>
      </c>
      <c r="D90" t="s">
        <v>72</v>
      </c>
      <c r="E90" t="s">
        <v>73</v>
      </c>
      <c r="F90" t="s">
        <v>74</v>
      </c>
      <c r="G90" t="s">
        <v>75</v>
      </c>
      <c r="H90" t="s">
        <v>76</v>
      </c>
      <c r="I90" t="s">
        <v>77</v>
      </c>
      <c r="J90" t="s">
        <v>78</v>
      </c>
      <c r="K90" t="s">
        <v>79</v>
      </c>
      <c r="L90" t="s">
        <v>325</v>
      </c>
    </row>
    <row r="91" spans="1:12" x14ac:dyDescent="0.25">
      <c r="A91" t="s">
        <v>419</v>
      </c>
      <c r="B91" t="s">
        <v>80</v>
      </c>
      <c r="C91" t="s">
        <v>81</v>
      </c>
      <c r="D91" t="s">
        <v>81</v>
      </c>
      <c r="K91" t="s">
        <v>82</v>
      </c>
      <c r="L91">
        <v>4</v>
      </c>
    </row>
    <row r="92" spans="1:12" x14ac:dyDescent="0.25">
      <c r="A92" t="s">
        <v>420</v>
      </c>
      <c r="B92" t="s">
        <v>94</v>
      </c>
      <c r="K92" t="s">
        <v>140</v>
      </c>
      <c r="L92">
        <v>46</v>
      </c>
    </row>
    <row r="93" spans="1:12" x14ac:dyDescent="0.25">
      <c r="A93" t="s">
        <v>421</v>
      </c>
      <c r="B93" t="s">
        <v>80</v>
      </c>
      <c r="K93" t="s">
        <v>141</v>
      </c>
      <c r="L93">
        <v>4</v>
      </c>
    </row>
    <row r="94" spans="1:12" x14ac:dyDescent="0.25">
      <c r="A94" t="s">
        <v>422</v>
      </c>
      <c r="B94" t="s">
        <v>94</v>
      </c>
      <c r="K94" t="s">
        <v>142</v>
      </c>
      <c r="L94">
        <v>46</v>
      </c>
    </row>
    <row r="95" spans="1:12" x14ac:dyDescent="0.25">
      <c r="A95" t="s">
        <v>423</v>
      </c>
      <c r="B95" t="s">
        <v>80</v>
      </c>
      <c r="D95" t="s">
        <v>81</v>
      </c>
      <c r="K95" t="s">
        <v>143</v>
      </c>
      <c r="L95">
        <v>4</v>
      </c>
    </row>
    <row r="96" spans="1:12" x14ac:dyDescent="0.25">
      <c r="L96">
        <f>SUM(Tableau12[Taille (Bytes)])</f>
        <v>104</v>
      </c>
    </row>
    <row r="97" spans="1:12" x14ac:dyDescent="0.25">
      <c r="A97" t="s">
        <v>424</v>
      </c>
    </row>
    <row r="98" spans="1:12" x14ac:dyDescent="0.25">
      <c r="A98" t="s">
        <v>69</v>
      </c>
      <c r="B98" t="s">
        <v>70</v>
      </c>
      <c r="C98" t="s">
        <v>71</v>
      </c>
      <c r="D98" t="s">
        <v>72</v>
      </c>
      <c r="E98" t="s">
        <v>73</v>
      </c>
      <c r="F98" t="s">
        <v>74</v>
      </c>
      <c r="G98" t="s">
        <v>75</v>
      </c>
      <c r="H98" t="s">
        <v>76</v>
      </c>
      <c r="I98" t="s">
        <v>77</v>
      </c>
      <c r="J98" t="s">
        <v>78</v>
      </c>
      <c r="K98" t="s">
        <v>79</v>
      </c>
      <c r="L98" t="s">
        <v>325</v>
      </c>
    </row>
    <row r="99" spans="1:12" x14ac:dyDescent="0.25">
      <c r="A99" t="s">
        <v>425</v>
      </c>
      <c r="B99" t="s">
        <v>80</v>
      </c>
      <c r="C99" t="s">
        <v>81</v>
      </c>
      <c r="D99" t="s">
        <v>81</v>
      </c>
      <c r="K99" t="s">
        <v>144</v>
      </c>
      <c r="L99">
        <v>4</v>
      </c>
    </row>
    <row r="100" spans="1:12" x14ac:dyDescent="0.25">
      <c r="A100" t="s">
        <v>426</v>
      </c>
      <c r="B100" t="s">
        <v>83</v>
      </c>
      <c r="K100" t="s">
        <v>145</v>
      </c>
      <c r="L100">
        <v>3</v>
      </c>
    </row>
    <row r="101" spans="1:12" x14ac:dyDescent="0.25">
      <c r="A101" t="s">
        <v>427</v>
      </c>
      <c r="B101" t="s">
        <v>94</v>
      </c>
      <c r="K101" t="s">
        <v>146</v>
      </c>
      <c r="L101">
        <v>46</v>
      </c>
    </row>
    <row r="102" spans="1:12" x14ac:dyDescent="0.25">
      <c r="A102" t="s">
        <v>428</v>
      </c>
      <c r="B102" t="s">
        <v>80</v>
      </c>
      <c r="K102" t="s">
        <v>147</v>
      </c>
      <c r="L102">
        <v>4</v>
      </c>
    </row>
    <row r="103" spans="1:12" x14ac:dyDescent="0.25">
      <c r="L103">
        <f>SUM(Tableau13[Taille (Bytes)])</f>
        <v>57</v>
      </c>
    </row>
    <row r="104" spans="1:12" x14ac:dyDescent="0.25">
      <c r="A104" s="4" t="s">
        <v>429</v>
      </c>
    </row>
    <row r="105" spans="1:12" x14ac:dyDescent="0.25">
      <c r="A105" t="s">
        <v>69</v>
      </c>
      <c r="B105" t="s">
        <v>70</v>
      </c>
      <c r="C105" t="s">
        <v>71</v>
      </c>
      <c r="D105" t="s">
        <v>72</v>
      </c>
      <c r="E105" t="s">
        <v>73</v>
      </c>
      <c r="F105" t="s">
        <v>74</v>
      </c>
      <c r="G105" t="s">
        <v>75</v>
      </c>
      <c r="H105" t="s">
        <v>76</v>
      </c>
      <c r="I105" t="s">
        <v>77</v>
      </c>
      <c r="J105" t="s">
        <v>78</v>
      </c>
      <c r="K105" t="s">
        <v>79</v>
      </c>
      <c r="L105" t="s">
        <v>325</v>
      </c>
    </row>
    <row r="106" spans="1:12" x14ac:dyDescent="0.25">
      <c r="A106" t="s">
        <v>430</v>
      </c>
      <c r="B106" t="s">
        <v>80</v>
      </c>
      <c r="C106" t="s">
        <v>81</v>
      </c>
      <c r="D106" t="s">
        <v>81</v>
      </c>
      <c r="K106" t="s">
        <v>82</v>
      </c>
      <c r="L106">
        <v>4</v>
      </c>
    </row>
    <row r="107" spans="1:12" x14ac:dyDescent="0.25">
      <c r="A107" t="s">
        <v>431</v>
      </c>
      <c r="B107" t="s">
        <v>80</v>
      </c>
      <c r="D107" t="s">
        <v>81</v>
      </c>
      <c r="K107" t="s">
        <v>148</v>
      </c>
      <c r="L107">
        <v>4</v>
      </c>
    </row>
    <row r="108" spans="1:12" x14ac:dyDescent="0.25">
      <c r="A108" t="s">
        <v>432</v>
      </c>
      <c r="B108" t="s">
        <v>80</v>
      </c>
      <c r="D108" t="s">
        <v>81</v>
      </c>
      <c r="K108" t="s">
        <v>149</v>
      </c>
      <c r="L108">
        <v>4</v>
      </c>
    </row>
    <row r="109" spans="1:12" x14ac:dyDescent="0.25">
      <c r="A109" t="s">
        <v>433</v>
      </c>
      <c r="B109" t="s">
        <v>80</v>
      </c>
      <c r="K109" t="s">
        <v>150</v>
      </c>
      <c r="L109">
        <v>4</v>
      </c>
    </row>
    <row r="110" spans="1:12" x14ac:dyDescent="0.25">
      <c r="A110" t="s">
        <v>434</v>
      </c>
      <c r="B110" t="s">
        <v>80</v>
      </c>
      <c r="K110" t="s">
        <v>150</v>
      </c>
      <c r="L110">
        <v>4</v>
      </c>
    </row>
    <row r="111" spans="1:12" x14ac:dyDescent="0.25">
      <c r="A111" t="s">
        <v>435</v>
      </c>
      <c r="B111" t="s">
        <v>80</v>
      </c>
      <c r="K111" t="s">
        <v>151</v>
      </c>
      <c r="L111">
        <v>4</v>
      </c>
    </row>
    <row r="112" spans="1:12" x14ac:dyDescent="0.25">
      <c r="A112" t="s">
        <v>436</v>
      </c>
      <c r="B112" t="s">
        <v>83</v>
      </c>
      <c r="K112" t="s">
        <v>152</v>
      </c>
      <c r="L112">
        <v>3</v>
      </c>
    </row>
    <row r="113" spans="1:12" x14ac:dyDescent="0.25">
      <c r="A113" t="s">
        <v>437</v>
      </c>
      <c r="B113" t="s">
        <v>80</v>
      </c>
      <c r="D113" t="s">
        <v>81</v>
      </c>
      <c r="K113" t="s">
        <v>134</v>
      </c>
      <c r="L113">
        <v>4</v>
      </c>
    </row>
    <row r="114" spans="1:12" x14ac:dyDescent="0.25">
      <c r="L114">
        <f>SUM(Tableau14[Taille (Bytes)])</f>
        <v>31</v>
      </c>
    </row>
    <row r="115" spans="1:12" x14ac:dyDescent="0.25">
      <c r="A115" t="s">
        <v>438</v>
      </c>
    </row>
    <row r="116" spans="1:12" x14ac:dyDescent="0.25">
      <c r="A116" t="s">
        <v>69</v>
      </c>
      <c r="B116" t="s">
        <v>70</v>
      </c>
      <c r="C116" t="s">
        <v>71</v>
      </c>
      <c r="D116" t="s">
        <v>72</v>
      </c>
      <c r="E116" t="s">
        <v>73</v>
      </c>
      <c r="F116" t="s">
        <v>74</v>
      </c>
      <c r="G116" t="s">
        <v>75</v>
      </c>
      <c r="H116" t="s">
        <v>76</v>
      </c>
      <c r="I116" t="s">
        <v>77</v>
      </c>
      <c r="J116" t="s">
        <v>78</v>
      </c>
      <c r="K116" t="s">
        <v>79</v>
      </c>
      <c r="L116" t="s">
        <v>325</v>
      </c>
    </row>
    <row r="117" spans="1:12" x14ac:dyDescent="0.25">
      <c r="A117" t="s">
        <v>439</v>
      </c>
      <c r="B117" t="s">
        <v>80</v>
      </c>
      <c r="C117" t="s">
        <v>81</v>
      </c>
      <c r="D117" t="s">
        <v>81</v>
      </c>
      <c r="K117" t="s">
        <v>82</v>
      </c>
      <c r="L117">
        <v>4</v>
      </c>
    </row>
    <row r="118" spans="1:12" x14ac:dyDescent="0.25">
      <c r="A118" t="s">
        <v>440</v>
      </c>
      <c r="B118" t="s">
        <v>94</v>
      </c>
      <c r="D118" t="s">
        <v>81</v>
      </c>
      <c r="K118" t="s">
        <v>153</v>
      </c>
      <c r="L118">
        <v>46</v>
      </c>
    </row>
    <row r="119" spans="1:12" x14ac:dyDescent="0.25">
      <c r="A119" t="s">
        <v>441</v>
      </c>
      <c r="B119" t="s">
        <v>80</v>
      </c>
      <c r="D119" t="s">
        <v>81</v>
      </c>
      <c r="K119" t="s">
        <v>154</v>
      </c>
      <c r="L119">
        <v>4</v>
      </c>
    </row>
    <row r="120" spans="1:12" x14ac:dyDescent="0.25">
      <c r="A120" t="s">
        <v>442</v>
      </c>
      <c r="B120" t="s">
        <v>80</v>
      </c>
      <c r="D120" t="s">
        <v>81</v>
      </c>
      <c r="K120" t="s">
        <v>154</v>
      </c>
      <c r="L120">
        <v>4</v>
      </c>
    </row>
    <row r="121" spans="1:12" x14ac:dyDescent="0.25">
      <c r="A121" t="s">
        <v>443</v>
      </c>
      <c r="B121" t="s">
        <v>80</v>
      </c>
      <c r="C121" t="s">
        <v>81</v>
      </c>
      <c r="D121" t="s">
        <v>81</v>
      </c>
      <c r="K121" t="s">
        <v>155</v>
      </c>
      <c r="L121">
        <v>4</v>
      </c>
    </row>
    <row r="122" spans="1:12" x14ac:dyDescent="0.25">
      <c r="L122">
        <f>SUM(Tableau15[Taille (Bytes)])</f>
        <v>62</v>
      </c>
    </row>
    <row r="123" spans="1:12" x14ac:dyDescent="0.25">
      <c r="A123" s="5" t="s">
        <v>444</v>
      </c>
    </row>
    <row r="124" spans="1:12" x14ac:dyDescent="0.25">
      <c r="A124" t="s">
        <v>69</v>
      </c>
      <c r="B124" t="s">
        <v>70</v>
      </c>
      <c r="C124" t="s">
        <v>71</v>
      </c>
      <c r="D124" t="s">
        <v>72</v>
      </c>
      <c r="E124" t="s">
        <v>73</v>
      </c>
      <c r="F124" t="s">
        <v>74</v>
      </c>
      <c r="G124" t="s">
        <v>75</v>
      </c>
      <c r="H124" t="s">
        <v>76</v>
      </c>
      <c r="I124" t="s">
        <v>77</v>
      </c>
      <c r="J124" t="s">
        <v>78</v>
      </c>
      <c r="K124" t="s">
        <v>79</v>
      </c>
      <c r="L124" t="s">
        <v>325</v>
      </c>
    </row>
    <row r="125" spans="1:12" x14ac:dyDescent="0.25">
      <c r="A125" t="s">
        <v>445</v>
      </c>
      <c r="B125" t="s">
        <v>80</v>
      </c>
      <c r="C125" t="s">
        <v>81</v>
      </c>
      <c r="D125" t="s">
        <v>81</v>
      </c>
      <c r="K125" t="s">
        <v>82</v>
      </c>
      <c r="L125">
        <v>4</v>
      </c>
    </row>
    <row r="126" spans="1:12" x14ac:dyDescent="0.25">
      <c r="A126" t="s">
        <v>446</v>
      </c>
      <c r="B126" t="s">
        <v>94</v>
      </c>
      <c r="D126" t="s">
        <v>81</v>
      </c>
      <c r="K126" t="s">
        <v>156</v>
      </c>
      <c r="L126">
        <v>46</v>
      </c>
    </row>
    <row r="127" spans="1:12" x14ac:dyDescent="0.25">
      <c r="L127">
        <f>SUM(Tableau16[Taille (Bytes)])</f>
        <v>50</v>
      </c>
    </row>
    <row r="128" spans="1:12" x14ac:dyDescent="0.25">
      <c r="A128" t="s">
        <v>447</v>
      </c>
    </row>
    <row r="129" spans="1:12" x14ac:dyDescent="0.25">
      <c r="A129" t="s">
        <v>69</v>
      </c>
      <c r="B129" t="s">
        <v>70</v>
      </c>
      <c r="C129" t="s">
        <v>71</v>
      </c>
      <c r="D129" t="s">
        <v>72</v>
      </c>
      <c r="E129" t="s">
        <v>73</v>
      </c>
      <c r="F129" t="s">
        <v>74</v>
      </c>
      <c r="G129" t="s">
        <v>75</v>
      </c>
      <c r="H129" t="s">
        <v>76</v>
      </c>
      <c r="I129" t="s">
        <v>77</v>
      </c>
      <c r="J129" t="s">
        <v>78</v>
      </c>
      <c r="K129" t="s">
        <v>79</v>
      </c>
      <c r="L129" t="s">
        <v>325</v>
      </c>
    </row>
    <row r="130" spans="1:12" x14ac:dyDescent="0.25">
      <c r="A130" t="s">
        <v>448</v>
      </c>
      <c r="B130" t="s">
        <v>80</v>
      </c>
      <c r="C130" t="s">
        <v>81</v>
      </c>
      <c r="D130" t="s">
        <v>81</v>
      </c>
      <c r="K130" t="s">
        <v>82</v>
      </c>
      <c r="L130">
        <v>4</v>
      </c>
    </row>
    <row r="131" spans="1:12" x14ac:dyDescent="0.25">
      <c r="A131" t="s">
        <v>449</v>
      </c>
      <c r="B131" t="s">
        <v>80</v>
      </c>
      <c r="D131" t="s">
        <v>81</v>
      </c>
      <c r="K131" t="s">
        <v>157</v>
      </c>
      <c r="L131">
        <v>4</v>
      </c>
    </row>
    <row r="132" spans="1:12" x14ac:dyDescent="0.25">
      <c r="A132" t="s">
        <v>450</v>
      </c>
      <c r="B132" t="s">
        <v>94</v>
      </c>
      <c r="D132" t="s">
        <v>81</v>
      </c>
      <c r="K132" t="s">
        <v>158</v>
      </c>
      <c r="L132">
        <v>46</v>
      </c>
    </row>
    <row r="133" spans="1:12" x14ac:dyDescent="0.25">
      <c r="A133" t="s">
        <v>451</v>
      </c>
      <c r="B133" t="s">
        <v>94</v>
      </c>
      <c r="D133" t="s">
        <v>81</v>
      </c>
      <c r="K133" t="s">
        <v>159</v>
      </c>
      <c r="L133">
        <v>46</v>
      </c>
    </row>
    <row r="134" spans="1:12" x14ac:dyDescent="0.25">
      <c r="L134">
        <f>SUM(Tableau17[Taille (Bytes)])</f>
        <v>100</v>
      </c>
    </row>
    <row r="135" spans="1:12" x14ac:dyDescent="0.25">
      <c r="A135" t="s">
        <v>452</v>
      </c>
    </row>
    <row r="136" spans="1:12" x14ac:dyDescent="0.25">
      <c r="A136" t="s">
        <v>69</v>
      </c>
      <c r="B136" t="s">
        <v>70</v>
      </c>
      <c r="C136" t="s">
        <v>71</v>
      </c>
      <c r="D136" t="s">
        <v>72</v>
      </c>
      <c r="E136" t="s">
        <v>73</v>
      </c>
      <c r="F136" t="s">
        <v>74</v>
      </c>
      <c r="G136" t="s">
        <v>75</v>
      </c>
      <c r="H136" t="s">
        <v>76</v>
      </c>
      <c r="I136" t="s">
        <v>77</v>
      </c>
      <c r="J136" t="s">
        <v>78</v>
      </c>
      <c r="K136" t="s">
        <v>79</v>
      </c>
      <c r="L136" t="s">
        <v>325</v>
      </c>
    </row>
    <row r="137" spans="1:12" x14ac:dyDescent="0.25">
      <c r="A137" t="s">
        <v>453</v>
      </c>
      <c r="B137" t="s">
        <v>80</v>
      </c>
      <c r="C137" t="s">
        <v>81</v>
      </c>
      <c r="D137" t="s">
        <v>81</v>
      </c>
      <c r="K137" t="s">
        <v>82</v>
      </c>
      <c r="L137">
        <v>4</v>
      </c>
    </row>
    <row r="138" spans="1:12" x14ac:dyDescent="0.25">
      <c r="A138" t="s">
        <v>454</v>
      </c>
      <c r="B138" t="s">
        <v>94</v>
      </c>
      <c r="D138" t="s">
        <v>81</v>
      </c>
      <c r="K138" t="s">
        <v>160</v>
      </c>
      <c r="L138">
        <v>46</v>
      </c>
    </row>
    <row r="139" spans="1:12" x14ac:dyDescent="0.25">
      <c r="A139" t="s">
        <v>455</v>
      </c>
      <c r="B139" t="s">
        <v>94</v>
      </c>
      <c r="D139" t="s">
        <v>81</v>
      </c>
      <c r="K139" t="s">
        <v>161</v>
      </c>
      <c r="L139">
        <v>46</v>
      </c>
    </row>
    <row r="140" spans="1:12" x14ac:dyDescent="0.25">
      <c r="A140" t="s">
        <v>456</v>
      </c>
      <c r="B140" t="s">
        <v>94</v>
      </c>
      <c r="D140" t="s">
        <v>81</v>
      </c>
      <c r="K140" t="s">
        <v>162</v>
      </c>
      <c r="L140">
        <v>46</v>
      </c>
    </row>
    <row r="141" spans="1:12" x14ac:dyDescent="0.25">
      <c r="A141" t="s">
        <v>457</v>
      </c>
      <c r="B141" t="s">
        <v>326</v>
      </c>
      <c r="D141" t="s">
        <v>81</v>
      </c>
      <c r="K141" t="s">
        <v>163</v>
      </c>
      <c r="L141">
        <v>1</v>
      </c>
    </row>
    <row r="142" spans="1:12" x14ac:dyDescent="0.25">
      <c r="A142" t="s">
        <v>458</v>
      </c>
      <c r="B142" t="s">
        <v>80</v>
      </c>
      <c r="D142" t="s">
        <v>81</v>
      </c>
      <c r="K142" t="s">
        <v>164</v>
      </c>
      <c r="L142">
        <v>4</v>
      </c>
    </row>
    <row r="143" spans="1:12" x14ac:dyDescent="0.25">
      <c r="A143" t="s">
        <v>459</v>
      </c>
      <c r="B143" t="s">
        <v>83</v>
      </c>
      <c r="D143" t="s">
        <v>81</v>
      </c>
      <c r="K143" t="s">
        <v>165</v>
      </c>
      <c r="L143">
        <v>3</v>
      </c>
    </row>
    <row r="144" spans="1:12" x14ac:dyDescent="0.25">
      <c r="A144" t="s">
        <v>460</v>
      </c>
      <c r="B144" t="s">
        <v>94</v>
      </c>
      <c r="D144" t="s">
        <v>81</v>
      </c>
      <c r="K144" t="s">
        <v>166</v>
      </c>
      <c r="L144">
        <v>46</v>
      </c>
    </row>
    <row r="145" spans="1:12" x14ac:dyDescent="0.25">
      <c r="A145" t="s">
        <v>461</v>
      </c>
      <c r="B145" t="s">
        <v>94</v>
      </c>
      <c r="D145" t="s">
        <v>81</v>
      </c>
      <c r="K145" t="s">
        <v>167</v>
      </c>
      <c r="L145">
        <v>46</v>
      </c>
    </row>
    <row r="146" spans="1:12" x14ac:dyDescent="0.25">
      <c r="A146" t="s">
        <v>462</v>
      </c>
      <c r="B146" t="s">
        <v>94</v>
      </c>
      <c r="D146" t="s">
        <v>81</v>
      </c>
      <c r="K146" t="s">
        <v>168</v>
      </c>
      <c r="L146">
        <v>46</v>
      </c>
    </row>
    <row r="147" spans="1:12" x14ac:dyDescent="0.25">
      <c r="A147" t="s">
        <v>463</v>
      </c>
      <c r="B147" t="s">
        <v>94</v>
      </c>
      <c r="D147" t="s">
        <v>81</v>
      </c>
      <c r="K147" t="s">
        <v>169</v>
      </c>
      <c r="L147">
        <v>46</v>
      </c>
    </row>
    <row r="148" spans="1:12" x14ac:dyDescent="0.25">
      <c r="A148" t="s">
        <v>464</v>
      </c>
      <c r="B148" t="s">
        <v>94</v>
      </c>
      <c r="D148" t="s">
        <v>81</v>
      </c>
      <c r="K148" t="s">
        <v>170</v>
      </c>
      <c r="L148">
        <v>46</v>
      </c>
    </row>
    <row r="149" spans="1:12" x14ac:dyDescent="0.25">
      <c r="A149" t="s">
        <v>465</v>
      </c>
      <c r="B149" t="s">
        <v>80</v>
      </c>
      <c r="K149" t="s">
        <v>171</v>
      </c>
      <c r="L149">
        <v>4</v>
      </c>
    </row>
    <row r="150" spans="1:12" x14ac:dyDescent="0.25">
      <c r="A150" t="s">
        <v>466</v>
      </c>
      <c r="B150" t="s">
        <v>94</v>
      </c>
      <c r="K150" t="s">
        <v>172</v>
      </c>
      <c r="L150">
        <v>46</v>
      </c>
    </row>
    <row r="151" spans="1:12" x14ac:dyDescent="0.25">
      <c r="A151" t="s">
        <v>467</v>
      </c>
      <c r="B151" t="s">
        <v>94</v>
      </c>
      <c r="K151" t="s">
        <v>173</v>
      </c>
      <c r="L151">
        <v>46</v>
      </c>
    </row>
    <row r="152" spans="1:12" x14ac:dyDescent="0.25">
      <c r="A152" t="s">
        <v>468</v>
      </c>
      <c r="B152" t="s">
        <v>80</v>
      </c>
      <c r="K152" t="s">
        <v>174</v>
      </c>
      <c r="L152">
        <v>4</v>
      </c>
    </row>
    <row r="153" spans="1:12" x14ac:dyDescent="0.25">
      <c r="A153" t="s">
        <v>469</v>
      </c>
      <c r="B153" t="s">
        <v>80</v>
      </c>
      <c r="K153" t="s">
        <v>175</v>
      </c>
      <c r="L153">
        <v>4</v>
      </c>
    </row>
    <row r="154" spans="1:12" x14ac:dyDescent="0.25">
      <c r="A154" t="s">
        <v>443</v>
      </c>
      <c r="B154" t="s">
        <v>80</v>
      </c>
      <c r="C154" t="s">
        <v>81</v>
      </c>
      <c r="D154" t="s">
        <v>81</v>
      </c>
      <c r="K154" t="s">
        <v>176</v>
      </c>
      <c r="L154">
        <v>4</v>
      </c>
    </row>
    <row r="155" spans="1:12" x14ac:dyDescent="0.25">
      <c r="L155">
        <f>SUM(Tableau18[Taille (Bytes)])</f>
        <v>488</v>
      </c>
    </row>
    <row r="156" spans="1:12" x14ac:dyDescent="0.25">
      <c r="A156" s="5" t="s">
        <v>473</v>
      </c>
    </row>
    <row r="157" spans="1:12" x14ac:dyDescent="0.25">
      <c r="A157" t="s">
        <v>69</v>
      </c>
      <c r="B157" t="s">
        <v>70</v>
      </c>
      <c r="C157" t="s">
        <v>71</v>
      </c>
      <c r="D157" t="s">
        <v>72</v>
      </c>
      <c r="E157" t="s">
        <v>73</v>
      </c>
      <c r="F157" t="s">
        <v>74</v>
      </c>
      <c r="G157" t="s">
        <v>75</v>
      </c>
      <c r="H157" t="s">
        <v>76</v>
      </c>
      <c r="I157" t="s">
        <v>77</v>
      </c>
      <c r="J157" t="s">
        <v>78</v>
      </c>
      <c r="K157" t="s">
        <v>79</v>
      </c>
      <c r="L157" t="s">
        <v>325</v>
      </c>
    </row>
    <row r="158" spans="1:12" x14ac:dyDescent="0.25">
      <c r="A158" t="s">
        <v>474</v>
      </c>
      <c r="B158" t="s">
        <v>80</v>
      </c>
      <c r="D158" t="s">
        <v>81</v>
      </c>
      <c r="L158">
        <v>4</v>
      </c>
    </row>
    <row r="159" spans="1:12" x14ac:dyDescent="0.25">
      <c r="A159" t="s">
        <v>475</v>
      </c>
      <c r="B159" t="s">
        <v>80</v>
      </c>
      <c r="D159" t="s">
        <v>81</v>
      </c>
      <c r="L159">
        <v>4</v>
      </c>
    </row>
    <row r="160" spans="1:12" x14ac:dyDescent="0.25">
      <c r="L160">
        <f>SUM(Tableau19[Taille (Bytes)])</f>
        <v>8</v>
      </c>
    </row>
    <row r="161" spans="1:12" x14ac:dyDescent="0.25">
      <c r="A161" s="4" t="s">
        <v>470</v>
      </c>
    </row>
    <row r="162" spans="1:12" x14ac:dyDescent="0.25">
      <c r="A162" t="s">
        <v>69</v>
      </c>
      <c r="B162" t="s">
        <v>70</v>
      </c>
      <c r="C162" t="s">
        <v>71</v>
      </c>
      <c r="D162" t="s">
        <v>72</v>
      </c>
      <c r="E162" t="s">
        <v>73</v>
      </c>
      <c r="F162" t="s">
        <v>74</v>
      </c>
      <c r="G162" t="s">
        <v>75</v>
      </c>
      <c r="H162" t="s">
        <v>76</v>
      </c>
      <c r="I162" t="s">
        <v>77</v>
      </c>
      <c r="J162" t="s">
        <v>78</v>
      </c>
      <c r="K162" t="s">
        <v>79</v>
      </c>
      <c r="L162" t="s">
        <v>325</v>
      </c>
    </row>
    <row r="163" spans="1:12" x14ac:dyDescent="0.25">
      <c r="A163" t="s">
        <v>471</v>
      </c>
      <c r="B163" t="s">
        <v>80</v>
      </c>
      <c r="D163" t="s">
        <v>81</v>
      </c>
      <c r="L163">
        <v>4</v>
      </c>
    </row>
    <row r="164" spans="1:12" x14ac:dyDescent="0.25">
      <c r="A164" t="s">
        <v>472</v>
      </c>
      <c r="B164" t="s">
        <v>80</v>
      </c>
      <c r="D164" t="s">
        <v>81</v>
      </c>
      <c r="L164">
        <v>4</v>
      </c>
    </row>
    <row r="165" spans="1:12" x14ac:dyDescent="0.25">
      <c r="L165">
        <f>SUM(Tableau20[Taille (Bytes)])</f>
        <v>8</v>
      </c>
    </row>
    <row r="166" spans="1:12" x14ac:dyDescent="0.25">
      <c r="A166" t="s">
        <v>476</v>
      </c>
    </row>
    <row r="167" spans="1:12" x14ac:dyDescent="0.25">
      <c r="A167" t="s">
        <v>69</v>
      </c>
      <c r="B167" t="s">
        <v>70</v>
      </c>
      <c r="C167" t="s">
        <v>71</v>
      </c>
      <c r="D167" t="s">
        <v>72</v>
      </c>
      <c r="E167" t="s">
        <v>73</v>
      </c>
      <c r="F167" t="s">
        <v>74</v>
      </c>
      <c r="G167" t="s">
        <v>75</v>
      </c>
      <c r="H167" t="s">
        <v>76</v>
      </c>
      <c r="I167" t="s">
        <v>77</v>
      </c>
      <c r="J167" t="s">
        <v>78</v>
      </c>
      <c r="K167" t="s">
        <v>79</v>
      </c>
      <c r="L167" t="s">
        <v>325</v>
      </c>
    </row>
    <row r="168" spans="1:12" x14ac:dyDescent="0.25">
      <c r="A168" t="s">
        <v>477</v>
      </c>
      <c r="B168" t="s">
        <v>80</v>
      </c>
      <c r="C168" t="s">
        <v>81</v>
      </c>
      <c r="D168" t="s">
        <v>81</v>
      </c>
      <c r="K168" t="s">
        <v>82</v>
      </c>
      <c r="L168">
        <v>4</v>
      </c>
    </row>
    <row r="169" spans="1:12" x14ac:dyDescent="0.25">
      <c r="A169" t="s">
        <v>478</v>
      </c>
      <c r="B169" t="s">
        <v>94</v>
      </c>
      <c r="D169" t="s">
        <v>81</v>
      </c>
      <c r="K169" t="s">
        <v>177</v>
      </c>
      <c r="L169">
        <v>46</v>
      </c>
    </row>
    <row r="170" spans="1:12" x14ac:dyDescent="0.25">
      <c r="A170" t="s">
        <v>479</v>
      </c>
      <c r="B170" t="s">
        <v>94</v>
      </c>
      <c r="D170" t="s">
        <v>81</v>
      </c>
      <c r="K170" t="s">
        <v>178</v>
      </c>
      <c r="L170">
        <v>46</v>
      </c>
    </row>
    <row r="171" spans="1:12" x14ac:dyDescent="0.25">
      <c r="A171" t="s">
        <v>480</v>
      </c>
      <c r="B171" t="s">
        <v>326</v>
      </c>
      <c r="D171" t="s">
        <v>81</v>
      </c>
      <c r="K171" t="s">
        <v>179</v>
      </c>
      <c r="L171">
        <v>1</v>
      </c>
    </row>
    <row r="172" spans="1:12" x14ac:dyDescent="0.25">
      <c r="A172" t="s">
        <v>481</v>
      </c>
      <c r="B172" t="s">
        <v>83</v>
      </c>
      <c r="D172" t="s">
        <v>81</v>
      </c>
      <c r="K172" t="s">
        <v>180</v>
      </c>
      <c r="L172">
        <v>3</v>
      </c>
    </row>
    <row r="173" spans="1:12" x14ac:dyDescent="0.25">
      <c r="A173" t="s">
        <v>482</v>
      </c>
      <c r="B173" t="s">
        <v>94</v>
      </c>
      <c r="D173" t="s">
        <v>81</v>
      </c>
      <c r="K173" t="s">
        <v>181</v>
      </c>
      <c r="L173">
        <v>46</v>
      </c>
    </row>
    <row r="174" spans="1:12" x14ac:dyDescent="0.25">
      <c r="A174" t="s">
        <v>483</v>
      </c>
      <c r="B174" t="s">
        <v>120</v>
      </c>
      <c r="D174" t="s">
        <v>81</v>
      </c>
      <c r="K174" t="s">
        <v>182</v>
      </c>
      <c r="L174">
        <v>1</v>
      </c>
    </row>
    <row r="175" spans="1:12" x14ac:dyDescent="0.25">
      <c r="A175" t="s">
        <v>484</v>
      </c>
      <c r="B175" t="s">
        <v>80</v>
      </c>
      <c r="D175" t="s">
        <v>81</v>
      </c>
      <c r="K175" t="s">
        <v>88</v>
      </c>
      <c r="L175">
        <v>4</v>
      </c>
    </row>
    <row r="176" spans="1:12" x14ac:dyDescent="0.25">
      <c r="L176">
        <f>SUM(Tableau21[Taille (Bytes)])</f>
        <v>151</v>
      </c>
    </row>
    <row r="177" spans="1:12" x14ac:dyDescent="0.25">
      <c r="A177" s="5" t="s">
        <v>485</v>
      </c>
    </row>
    <row r="178" spans="1:12" x14ac:dyDescent="0.25">
      <c r="A178" t="s">
        <v>69</v>
      </c>
      <c r="B178" t="s">
        <v>70</v>
      </c>
      <c r="C178" t="s">
        <v>71</v>
      </c>
      <c r="D178" t="s">
        <v>72</v>
      </c>
      <c r="E178" t="s">
        <v>73</v>
      </c>
      <c r="F178" t="s">
        <v>74</v>
      </c>
      <c r="G178" t="s">
        <v>75</v>
      </c>
      <c r="H178" t="s">
        <v>76</v>
      </c>
      <c r="I178" t="s">
        <v>77</v>
      </c>
      <c r="J178" t="s">
        <v>78</v>
      </c>
      <c r="K178" t="s">
        <v>79</v>
      </c>
      <c r="L178" t="s">
        <v>325</v>
      </c>
    </row>
    <row r="179" spans="1:12" x14ac:dyDescent="0.25">
      <c r="A179" t="s">
        <v>486</v>
      </c>
      <c r="B179" t="s">
        <v>80</v>
      </c>
      <c r="C179" t="s">
        <v>81</v>
      </c>
      <c r="D179" t="s">
        <v>81</v>
      </c>
      <c r="K179" t="s">
        <v>82</v>
      </c>
      <c r="L179">
        <v>4</v>
      </c>
    </row>
    <row r="180" spans="1:12" x14ac:dyDescent="0.25">
      <c r="A180" t="s">
        <v>487</v>
      </c>
      <c r="B180" t="s">
        <v>94</v>
      </c>
      <c r="D180" t="s">
        <v>81</v>
      </c>
      <c r="K180" t="s">
        <v>183</v>
      </c>
      <c r="L180">
        <v>46</v>
      </c>
    </row>
    <row r="181" spans="1:12" x14ac:dyDescent="0.25">
      <c r="L181">
        <f>SUM(Tableau22[Taille (Bytes)])</f>
        <v>50</v>
      </c>
    </row>
    <row r="182" spans="1:12" x14ac:dyDescent="0.25">
      <c r="A182" t="s">
        <v>488</v>
      </c>
    </row>
    <row r="183" spans="1:12" x14ac:dyDescent="0.25">
      <c r="A183" t="s">
        <v>69</v>
      </c>
      <c r="B183" t="s">
        <v>70</v>
      </c>
      <c r="C183" t="s">
        <v>71</v>
      </c>
      <c r="D183" t="s">
        <v>72</v>
      </c>
      <c r="E183" t="s">
        <v>73</v>
      </c>
      <c r="F183" t="s">
        <v>74</v>
      </c>
      <c r="G183" t="s">
        <v>75</v>
      </c>
      <c r="H183" t="s">
        <v>76</v>
      </c>
      <c r="I183" t="s">
        <v>77</v>
      </c>
      <c r="J183" t="s">
        <v>78</v>
      </c>
      <c r="K183" t="s">
        <v>79</v>
      </c>
      <c r="L183" t="s">
        <v>325</v>
      </c>
    </row>
    <row r="184" spans="1:12" x14ac:dyDescent="0.25">
      <c r="A184" t="s">
        <v>489</v>
      </c>
      <c r="B184" t="s">
        <v>80</v>
      </c>
      <c r="C184" t="s">
        <v>81</v>
      </c>
      <c r="D184" t="s">
        <v>81</v>
      </c>
      <c r="K184" t="s">
        <v>82</v>
      </c>
      <c r="L184">
        <v>4</v>
      </c>
    </row>
    <row r="185" spans="1:12" x14ac:dyDescent="0.25">
      <c r="A185" t="s">
        <v>490</v>
      </c>
      <c r="B185" t="s">
        <v>94</v>
      </c>
      <c r="D185" t="s">
        <v>81</v>
      </c>
      <c r="K185" t="s">
        <v>184</v>
      </c>
      <c r="L185">
        <v>46</v>
      </c>
    </row>
    <row r="186" spans="1:12" x14ac:dyDescent="0.25">
      <c r="A186" t="s">
        <v>491</v>
      </c>
      <c r="B186" t="s">
        <v>83</v>
      </c>
      <c r="K186" t="s">
        <v>185</v>
      </c>
      <c r="L186">
        <v>3</v>
      </c>
    </row>
    <row r="187" spans="1:12" x14ac:dyDescent="0.25">
      <c r="A187" t="s">
        <v>492</v>
      </c>
      <c r="B187" t="s">
        <v>80</v>
      </c>
      <c r="D187" t="s">
        <v>81</v>
      </c>
      <c r="K187" t="s">
        <v>154</v>
      </c>
      <c r="L187">
        <v>4</v>
      </c>
    </row>
    <row r="188" spans="1:12" x14ac:dyDescent="0.25">
      <c r="A188" t="s">
        <v>493</v>
      </c>
      <c r="B188" t="s">
        <v>94</v>
      </c>
      <c r="K188" t="s">
        <v>186</v>
      </c>
      <c r="L188">
        <v>46</v>
      </c>
    </row>
    <row r="189" spans="1:12" x14ac:dyDescent="0.25">
      <c r="A189" t="s">
        <v>443</v>
      </c>
      <c r="B189" t="s">
        <v>80</v>
      </c>
      <c r="C189" t="s">
        <v>81</v>
      </c>
      <c r="D189" t="s">
        <v>81</v>
      </c>
      <c r="K189" t="s">
        <v>187</v>
      </c>
      <c r="L189">
        <v>4</v>
      </c>
    </row>
    <row r="190" spans="1:12" x14ac:dyDescent="0.25">
      <c r="L190">
        <f>SUM(Tableau23[Taille (Bytes)])</f>
        <v>107</v>
      </c>
    </row>
    <row r="191" spans="1:12" x14ac:dyDescent="0.25">
      <c r="A191" s="5" t="s">
        <v>494</v>
      </c>
    </row>
    <row r="192" spans="1:12" x14ac:dyDescent="0.25">
      <c r="A192" t="s">
        <v>69</v>
      </c>
      <c r="B192" t="s">
        <v>70</v>
      </c>
      <c r="C192" t="s">
        <v>71</v>
      </c>
      <c r="D192" t="s">
        <v>72</v>
      </c>
      <c r="E192" t="s">
        <v>73</v>
      </c>
      <c r="F192" t="s">
        <v>74</v>
      </c>
      <c r="G192" t="s">
        <v>75</v>
      </c>
      <c r="H192" t="s">
        <v>76</v>
      </c>
      <c r="I192" t="s">
        <v>77</v>
      </c>
      <c r="J192" t="s">
        <v>78</v>
      </c>
      <c r="K192" t="s">
        <v>79</v>
      </c>
      <c r="L192" t="s">
        <v>325</v>
      </c>
    </row>
    <row r="193" spans="1:12" x14ac:dyDescent="0.25">
      <c r="A193" t="s">
        <v>495</v>
      </c>
      <c r="B193" t="s">
        <v>80</v>
      </c>
      <c r="C193" t="s">
        <v>81</v>
      </c>
      <c r="D193" t="s">
        <v>81</v>
      </c>
      <c r="K193" t="s">
        <v>82</v>
      </c>
      <c r="L193">
        <v>4</v>
      </c>
    </row>
    <row r="194" spans="1:12" x14ac:dyDescent="0.25">
      <c r="A194" t="s">
        <v>496</v>
      </c>
      <c r="B194" t="s">
        <v>80</v>
      </c>
      <c r="K194" t="s">
        <v>188</v>
      </c>
      <c r="L194">
        <v>4</v>
      </c>
    </row>
    <row r="195" spans="1:12" x14ac:dyDescent="0.25">
      <c r="A195" t="s">
        <v>497</v>
      </c>
      <c r="B195" t="s">
        <v>83</v>
      </c>
      <c r="K195" t="s">
        <v>189</v>
      </c>
      <c r="L195">
        <v>3</v>
      </c>
    </row>
    <row r="196" spans="1:12" x14ac:dyDescent="0.25">
      <c r="A196" t="s">
        <v>498</v>
      </c>
      <c r="B196" t="s">
        <v>83</v>
      </c>
      <c r="K196" t="s">
        <v>190</v>
      </c>
      <c r="L196">
        <v>3</v>
      </c>
    </row>
    <row r="197" spans="1:12" x14ac:dyDescent="0.25">
      <c r="A197" t="s">
        <v>499</v>
      </c>
      <c r="B197" t="s">
        <v>83</v>
      </c>
      <c r="K197" t="s">
        <v>191</v>
      </c>
      <c r="L197">
        <v>3</v>
      </c>
    </row>
    <row r="198" spans="1:12" x14ac:dyDescent="0.25">
      <c r="A198" t="s">
        <v>500</v>
      </c>
      <c r="B198" t="s">
        <v>109</v>
      </c>
      <c r="K198" t="s">
        <v>192</v>
      </c>
      <c r="L198">
        <v>4</v>
      </c>
    </row>
    <row r="199" spans="1:12" x14ac:dyDescent="0.25">
      <c r="A199" t="s">
        <v>501</v>
      </c>
      <c r="B199" t="s">
        <v>109</v>
      </c>
      <c r="K199" t="s">
        <v>193</v>
      </c>
      <c r="L199">
        <v>4</v>
      </c>
    </row>
    <row r="200" spans="1:12" x14ac:dyDescent="0.25">
      <c r="A200" t="s">
        <v>502</v>
      </c>
      <c r="B200" t="s">
        <v>109</v>
      </c>
      <c r="K200" t="s">
        <v>194</v>
      </c>
      <c r="L200">
        <v>4</v>
      </c>
    </row>
    <row r="201" spans="1:12" x14ac:dyDescent="0.25">
      <c r="A201" t="s">
        <v>503</v>
      </c>
      <c r="B201" t="s">
        <v>109</v>
      </c>
      <c r="K201" t="s">
        <v>195</v>
      </c>
      <c r="L201">
        <v>4</v>
      </c>
    </row>
    <row r="202" spans="1:12" x14ac:dyDescent="0.25">
      <c r="A202" t="s">
        <v>504</v>
      </c>
      <c r="B202" t="s">
        <v>109</v>
      </c>
      <c r="K202" t="s">
        <v>196</v>
      </c>
      <c r="L202">
        <v>4</v>
      </c>
    </row>
    <row r="203" spans="1:12" x14ac:dyDescent="0.25">
      <c r="A203" t="s">
        <v>505</v>
      </c>
      <c r="B203" t="s">
        <v>109</v>
      </c>
      <c r="K203" t="s">
        <v>197</v>
      </c>
      <c r="L203">
        <v>4</v>
      </c>
    </row>
    <row r="204" spans="1:12" x14ac:dyDescent="0.25">
      <c r="A204" t="s">
        <v>506</v>
      </c>
      <c r="B204" t="s">
        <v>109</v>
      </c>
      <c r="K204" t="s">
        <v>327</v>
      </c>
      <c r="L204">
        <v>4</v>
      </c>
    </row>
    <row r="205" spans="1:12" x14ac:dyDescent="0.25">
      <c r="L205">
        <f>SUM(Tableau24[Taille (Bytes)])</f>
        <v>45</v>
      </c>
    </row>
    <row r="206" spans="1:12" x14ac:dyDescent="0.25">
      <c r="A206" t="s">
        <v>507</v>
      </c>
    </row>
    <row r="207" spans="1:12" x14ac:dyDescent="0.25">
      <c r="A207" t="s">
        <v>69</v>
      </c>
      <c r="B207" t="s">
        <v>70</v>
      </c>
      <c r="C207" t="s">
        <v>71</v>
      </c>
      <c r="D207" t="s">
        <v>72</v>
      </c>
      <c r="E207" t="s">
        <v>73</v>
      </c>
      <c r="F207" t="s">
        <v>74</v>
      </c>
      <c r="G207" t="s">
        <v>75</v>
      </c>
      <c r="H207" t="s">
        <v>76</v>
      </c>
      <c r="I207" t="s">
        <v>77</v>
      </c>
      <c r="J207" t="s">
        <v>78</v>
      </c>
      <c r="K207" t="s">
        <v>79</v>
      </c>
      <c r="L207" t="s">
        <v>325</v>
      </c>
    </row>
    <row r="208" spans="1:12" x14ac:dyDescent="0.25">
      <c r="A208" t="s">
        <v>508</v>
      </c>
      <c r="B208" t="s">
        <v>80</v>
      </c>
      <c r="C208" t="s">
        <v>81</v>
      </c>
      <c r="D208" t="s">
        <v>81</v>
      </c>
      <c r="K208" t="s">
        <v>82</v>
      </c>
      <c r="L208">
        <v>4</v>
      </c>
    </row>
    <row r="209" spans="1:12" x14ac:dyDescent="0.25">
      <c r="A209" t="s">
        <v>509</v>
      </c>
      <c r="B209" t="s">
        <v>94</v>
      </c>
      <c r="K209" t="s">
        <v>198</v>
      </c>
      <c r="L209">
        <v>46</v>
      </c>
    </row>
    <row r="210" spans="1:12" x14ac:dyDescent="0.25">
      <c r="A210" t="s">
        <v>510</v>
      </c>
      <c r="B210" t="s">
        <v>83</v>
      </c>
      <c r="K210" t="s">
        <v>199</v>
      </c>
      <c r="L210">
        <v>3</v>
      </c>
    </row>
    <row r="211" spans="1:12" x14ac:dyDescent="0.25">
      <c r="A211" t="s">
        <v>511</v>
      </c>
      <c r="B211" t="s">
        <v>83</v>
      </c>
      <c r="K211" t="s">
        <v>200</v>
      </c>
      <c r="L211">
        <v>3</v>
      </c>
    </row>
    <row r="212" spans="1:12" x14ac:dyDescent="0.25">
      <c r="A212" t="s">
        <v>512</v>
      </c>
      <c r="B212" t="s">
        <v>80</v>
      </c>
      <c r="K212" t="s">
        <v>201</v>
      </c>
      <c r="L212">
        <v>4</v>
      </c>
    </row>
    <row r="213" spans="1:12" x14ac:dyDescent="0.25">
      <c r="A213" t="s">
        <v>513</v>
      </c>
      <c r="B213" t="s">
        <v>109</v>
      </c>
      <c r="K213" t="s">
        <v>202</v>
      </c>
      <c r="L213">
        <v>4</v>
      </c>
    </row>
    <row r="214" spans="1:12" x14ac:dyDescent="0.25">
      <c r="A214" t="s">
        <v>514</v>
      </c>
      <c r="B214" t="s">
        <v>109</v>
      </c>
      <c r="K214" t="s">
        <v>203</v>
      </c>
      <c r="L214">
        <v>4</v>
      </c>
    </row>
    <row r="215" spans="1:12" x14ac:dyDescent="0.25">
      <c r="A215" t="s">
        <v>515</v>
      </c>
      <c r="B215" t="s">
        <v>80</v>
      </c>
      <c r="D215" t="s">
        <v>81</v>
      </c>
      <c r="K215" t="s">
        <v>88</v>
      </c>
      <c r="L215">
        <v>4</v>
      </c>
    </row>
    <row r="216" spans="1:12" x14ac:dyDescent="0.25">
      <c r="A216" t="s">
        <v>516</v>
      </c>
      <c r="B216" t="s">
        <v>80</v>
      </c>
      <c r="D216" t="s">
        <v>81</v>
      </c>
      <c r="K216" t="s">
        <v>204</v>
      </c>
      <c r="L216">
        <v>4</v>
      </c>
    </row>
    <row r="217" spans="1:12" x14ac:dyDescent="0.25">
      <c r="A217" t="s">
        <v>443</v>
      </c>
      <c r="B217" t="s">
        <v>80</v>
      </c>
      <c r="C217" t="s">
        <v>81</v>
      </c>
      <c r="D217" t="s">
        <v>81</v>
      </c>
      <c r="K217" t="s">
        <v>155</v>
      </c>
      <c r="L217">
        <v>4</v>
      </c>
    </row>
    <row r="218" spans="1:12" x14ac:dyDescent="0.25">
      <c r="L218">
        <f>SUM(Tableau25[Taille (Bytes)])</f>
        <v>80</v>
      </c>
    </row>
    <row r="219" spans="1:12" x14ac:dyDescent="0.25">
      <c r="A219" t="s">
        <v>517</v>
      </c>
    </row>
    <row r="220" spans="1:12" x14ac:dyDescent="0.25">
      <c r="A220" t="s">
        <v>69</v>
      </c>
      <c r="B220" t="s">
        <v>70</v>
      </c>
      <c r="C220" t="s">
        <v>71</v>
      </c>
      <c r="D220" t="s">
        <v>72</v>
      </c>
      <c r="E220" t="s">
        <v>73</v>
      </c>
      <c r="F220" t="s">
        <v>74</v>
      </c>
      <c r="G220" t="s">
        <v>75</v>
      </c>
      <c r="H220" t="s">
        <v>76</v>
      </c>
      <c r="I220" t="s">
        <v>77</v>
      </c>
      <c r="J220" t="s">
        <v>78</v>
      </c>
      <c r="K220" t="s">
        <v>79</v>
      </c>
      <c r="L220" t="s">
        <v>325</v>
      </c>
    </row>
    <row r="221" spans="1:12" x14ac:dyDescent="0.25">
      <c r="A221" t="s">
        <v>518</v>
      </c>
      <c r="B221" t="s">
        <v>80</v>
      </c>
      <c r="C221" t="s">
        <v>81</v>
      </c>
      <c r="D221" t="s">
        <v>81</v>
      </c>
      <c r="K221" t="s">
        <v>82</v>
      </c>
      <c r="L221">
        <v>4</v>
      </c>
    </row>
    <row r="222" spans="1:12" x14ac:dyDescent="0.25">
      <c r="A222" t="s">
        <v>519</v>
      </c>
      <c r="B222" t="s">
        <v>94</v>
      </c>
      <c r="D222" t="s">
        <v>81</v>
      </c>
      <c r="K222" t="s">
        <v>205</v>
      </c>
      <c r="L222">
        <v>46</v>
      </c>
    </row>
    <row r="223" spans="1:12" x14ac:dyDescent="0.25">
      <c r="A223" t="s">
        <v>520</v>
      </c>
      <c r="B223" t="s">
        <v>120</v>
      </c>
      <c r="D223" t="s">
        <v>81</v>
      </c>
      <c r="K223" t="s">
        <v>206</v>
      </c>
      <c r="L223">
        <v>1</v>
      </c>
    </row>
    <row r="224" spans="1:12" x14ac:dyDescent="0.25">
      <c r="A224" t="s">
        <v>521</v>
      </c>
      <c r="B224" t="s">
        <v>122</v>
      </c>
      <c r="K224" t="s">
        <v>207</v>
      </c>
      <c r="L224">
        <v>201</v>
      </c>
    </row>
    <row r="225" spans="1:12" x14ac:dyDescent="0.25">
      <c r="L225">
        <f>SUM(Tableau26[Taille (Bytes)])</f>
        <v>252</v>
      </c>
    </row>
    <row r="226" spans="1:12" x14ac:dyDescent="0.25">
      <c r="A226" s="4" t="s">
        <v>522</v>
      </c>
    </row>
    <row r="227" spans="1:12" x14ac:dyDescent="0.25">
      <c r="A227" t="s">
        <v>69</v>
      </c>
      <c r="B227" t="s">
        <v>70</v>
      </c>
      <c r="C227" t="s">
        <v>71</v>
      </c>
      <c r="D227" t="s">
        <v>72</v>
      </c>
      <c r="E227" t="s">
        <v>73</v>
      </c>
      <c r="F227" t="s">
        <v>74</v>
      </c>
      <c r="G227" t="s">
        <v>75</v>
      </c>
      <c r="H227" t="s">
        <v>76</v>
      </c>
      <c r="I227" t="s">
        <v>77</v>
      </c>
      <c r="J227" t="s">
        <v>78</v>
      </c>
      <c r="K227" t="s">
        <v>79</v>
      </c>
      <c r="L227" t="s">
        <v>325</v>
      </c>
    </row>
    <row r="228" spans="1:12" x14ac:dyDescent="0.25">
      <c r="A228" t="s">
        <v>523</v>
      </c>
      <c r="B228" t="s">
        <v>80</v>
      </c>
      <c r="D228" t="s">
        <v>81</v>
      </c>
      <c r="L228">
        <v>4</v>
      </c>
    </row>
    <row r="229" spans="1:12" x14ac:dyDescent="0.25">
      <c r="A229" t="s">
        <v>524</v>
      </c>
      <c r="B229" t="s">
        <v>80</v>
      </c>
      <c r="D229" t="s">
        <v>81</v>
      </c>
      <c r="L229">
        <v>4</v>
      </c>
    </row>
    <row r="230" spans="1:12" x14ac:dyDescent="0.25">
      <c r="L230">
        <f>SUM(Tableau27[Taille (Bytes)])</f>
        <v>8</v>
      </c>
    </row>
    <row r="231" spans="1:12" x14ac:dyDescent="0.25">
      <c r="A231" s="5" t="s">
        <v>525</v>
      </c>
    </row>
    <row r="232" spans="1:12" x14ac:dyDescent="0.25">
      <c r="A232" t="s">
        <v>69</v>
      </c>
      <c r="B232" t="s">
        <v>70</v>
      </c>
      <c r="C232" t="s">
        <v>71</v>
      </c>
      <c r="D232" t="s">
        <v>72</v>
      </c>
      <c r="E232" t="s">
        <v>73</v>
      </c>
      <c r="F232" t="s">
        <v>74</v>
      </c>
      <c r="G232" t="s">
        <v>75</v>
      </c>
      <c r="H232" t="s">
        <v>76</v>
      </c>
      <c r="I232" t="s">
        <v>77</v>
      </c>
      <c r="J232" t="s">
        <v>78</v>
      </c>
      <c r="K232" t="s">
        <v>79</v>
      </c>
      <c r="L232" t="s">
        <v>325</v>
      </c>
    </row>
    <row r="233" spans="1:12" x14ac:dyDescent="0.25">
      <c r="A233" t="s">
        <v>526</v>
      </c>
      <c r="B233" t="s">
        <v>80</v>
      </c>
      <c r="C233" t="s">
        <v>81</v>
      </c>
      <c r="D233" t="s">
        <v>81</v>
      </c>
      <c r="K233" t="s">
        <v>82</v>
      </c>
      <c r="L233">
        <v>4</v>
      </c>
    </row>
    <row r="234" spans="1:12" x14ac:dyDescent="0.25">
      <c r="A234" t="s">
        <v>527</v>
      </c>
      <c r="B234" t="s">
        <v>94</v>
      </c>
      <c r="D234" t="s">
        <v>81</v>
      </c>
      <c r="K234" t="s">
        <v>208</v>
      </c>
      <c r="L234">
        <v>46</v>
      </c>
    </row>
    <row r="235" spans="1:12" x14ac:dyDescent="0.25">
      <c r="A235" t="s">
        <v>528</v>
      </c>
      <c r="B235" t="s">
        <v>109</v>
      </c>
      <c r="D235" t="s">
        <v>81</v>
      </c>
      <c r="K235" t="s">
        <v>209</v>
      </c>
      <c r="L235">
        <v>4</v>
      </c>
    </row>
    <row r="236" spans="1:12" x14ac:dyDescent="0.25">
      <c r="L236">
        <f>SUM(Tableau28[Taille (Bytes)])</f>
        <v>54</v>
      </c>
    </row>
    <row r="237" spans="1:12" x14ac:dyDescent="0.25">
      <c r="A237" t="s">
        <v>529</v>
      </c>
    </row>
    <row r="238" spans="1:12" x14ac:dyDescent="0.25">
      <c r="A238" t="s">
        <v>69</v>
      </c>
      <c r="B238" t="s">
        <v>70</v>
      </c>
      <c r="C238" t="s">
        <v>71</v>
      </c>
      <c r="D238" t="s">
        <v>72</v>
      </c>
      <c r="E238" t="s">
        <v>73</v>
      </c>
      <c r="F238" t="s">
        <v>74</v>
      </c>
      <c r="G238" t="s">
        <v>75</v>
      </c>
      <c r="H238" t="s">
        <v>76</v>
      </c>
      <c r="I238" t="s">
        <v>77</v>
      </c>
      <c r="J238" t="s">
        <v>78</v>
      </c>
      <c r="K238" t="s">
        <v>79</v>
      </c>
      <c r="L238" t="s">
        <v>325</v>
      </c>
    </row>
    <row r="239" spans="1:12" x14ac:dyDescent="0.25">
      <c r="A239" t="s">
        <v>530</v>
      </c>
      <c r="B239" t="s">
        <v>80</v>
      </c>
      <c r="C239" t="s">
        <v>81</v>
      </c>
      <c r="D239" t="s">
        <v>81</v>
      </c>
      <c r="K239" t="s">
        <v>82</v>
      </c>
      <c r="L239">
        <v>4</v>
      </c>
    </row>
    <row r="240" spans="1:12" x14ac:dyDescent="0.25">
      <c r="A240" t="s">
        <v>531</v>
      </c>
      <c r="B240" t="s">
        <v>94</v>
      </c>
      <c r="D240" t="s">
        <v>81</v>
      </c>
      <c r="K240" t="s">
        <v>210</v>
      </c>
      <c r="L240">
        <v>46</v>
      </c>
    </row>
    <row r="241" spans="1:12" x14ac:dyDescent="0.25">
      <c r="L241">
        <f>SUM(Tableau29[Taille (Bytes)])</f>
        <v>50</v>
      </c>
    </row>
    <row r="242" spans="1:12" x14ac:dyDescent="0.25">
      <c r="A242" t="s">
        <v>532</v>
      </c>
    </row>
    <row r="243" spans="1:12" x14ac:dyDescent="0.25">
      <c r="A243" t="s">
        <v>69</v>
      </c>
      <c r="B243" t="s">
        <v>70</v>
      </c>
      <c r="C243" t="s">
        <v>71</v>
      </c>
      <c r="D243" t="s">
        <v>72</v>
      </c>
      <c r="E243" t="s">
        <v>73</v>
      </c>
      <c r="F243" t="s">
        <v>74</v>
      </c>
      <c r="G243" t="s">
        <v>75</v>
      </c>
      <c r="H243" t="s">
        <v>76</v>
      </c>
      <c r="I243" t="s">
        <v>77</v>
      </c>
      <c r="J243" t="s">
        <v>78</v>
      </c>
      <c r="K243" t="s">
        <v>79</v>
      </c>
      <c r="L243" t="s">
        <v>325</v>
      </c>
    </row>
    <row r="244" spans="1:12" x14ac:dyDescent="0.25">
      <c r="A244" t="s">
        <v>533</v>
      </c>
      <c r="B244" t="s">
        <v>80</v>
      </c>
      <c r="C244" t="s">
        <v>81</v>
      </c>
      <c r="D244" t="s">
        <v>81</v>
      </c>
      <c r="K244" t="s">
        <v>82</v>
      </c>
      <c r="L244">
        <v>4</v>
      </c>
    </row>
    <row r="245" spans="1:12" x14ac:dyDescent="0.25">
      <c r="A245" t="s">
        <v>534</v>
      </c>
      <c r="B245" t="s">
        <v>94</v>
      </c>
      <c r="D245" t="s">
        <v>81</v>
      </c>
      <c r="K245" t="s">
        <v>211</v>
      </c>
      <c r="L245">
        <v>46</v>
      </c>
    </row>
    <row r="246" spans="1:12" x14ac:dyDescent="0.25">
      <c r="A246" t="s">
        <v>535</v>
      </c>
      <c r="B246" t="s">
        <v>83</v>
      </c>
      <c r="D246" t="s">
        <v>81</v>
      </c>
      <c r="K246" t="s">
        <v>212</v>
      </c>
      <c r="L246">
        <v>3</v>
      </c>
    </row>
    <row r="247" spans="1:12" x14ac:dyDescent="0.25">
      <c r="A247" t="s">
        <v>536</v>
      </c>
      <c r="B247" t="s">
        <v>83</v>
      </c>
      <c r="K247" t="s">
        <v>213</v>
      </c>
      <c r="L247">
        <v>3</v>
      </c>
    </row>
    <row r="248" spans="1:12" x14ac:dyDescent="0.25">
      <c r="A248" t="s">
        <v>537</v>
      </c>
      <c r="B248" t="s">
        <v>80</v>
      </c>
      <c r="D248" t="s">
        <v>81</v>
      </c>
      <c r="K248" t="s">
        <v>214</v>
      </c>
      <c r="L248">
        <v>4</v>
      </c>
    </row>
    <row r="249" spans="1:12" x14ac:dyDescent="0.25">
      <c r="A249" t="s">
        <v>735</v>
      </c>
      <c r="B249" t="s">
        <v>80</v>
      </c>
      <c r="D249" t="s">
        <v>81</v>
      </c>
      <c r="K249" t="s">
        <v>215</v>
      </c>
      <c r="L249">
        <v>4</v>
      </c>
    </row>
    <row r="250" spans="1:12" x14ac:dyDescent="0.25">
      <c r="L250">
        <f>SUM(Tableau30[Taille (Bytes)])</f>
        <v>64</v>
      </c>
    </row>
    <row r="251" spans="1:12" x14ac:dyDescent="0.25">
      <c r="A251" s="5" t="s">
        <v>538</v>
      </c>
    </row>
    <row r="252" spans="1:12" x14ac:dyDescent="0.25">
      <c r="A252" t="s">
        <v>69</v>
      </c>
      <c r="B252" t="s">
        <v>70</v>
      </c>
      <c r="C252" t="s">
        <v>71</v>
      </c>
      <c r="D252" t="s">
        <v>72</v>
      </c>
      <c r="E252" t="s">
        <v>73</v>
      </c>
      <c r="F252" t="s">
        <v>74</v>
      </c>
      <c r="G252" t="s">
        <v>75</v>
      </c>
      <c r="H252" t="s">
        <v>76</v>
      </c>
      <c r="I252" t="s">
        <v>77</v>
      </c>
      <c r="J252" t="s">
        <v>78</v>
      </c>
      <c r="K252" t="s">
        <v>79</v>
      </c>
      <c r="L252" t="s">
        <v>325</v>
      </c>
    </row>
    <row r="253" spans="1:12" x14ac:dyDescent="0.25">
      <c r="A253" t="s">
        <v>539</v>
      </c>
      <c r="B253" t="s">
        <v>80</v>
      </c>
      <c r="C253" t="s">
        <v>81</v>
      </c>
      <c r="D253" t="s">
        <v>81</v>
      </c>
      <c r="K253" t="s">
        <v>144</v>
      </c>
      <c r="L253">
        <v>4</v>
      </c>
    </row>
    <row r="254" spans="1:12" x14ac:dyDescent="0.25">
      <c r="A254" t="s">
        <v>540</v>
      </c>
      <c r="B254" t="s">
        <v>94</v>
      </c>
      <c r="D254" t="s">
        <v>81</v>
      </c>
      <c r="K254" t="s">
        <v>216</v>
      </c>
      <c r="L254">
        <v>46</v>
      </c>
    </row>
    <row r="255" spans="1:12" x14ac:dyDescent="0.25">
      <c r="A255" t="s">
        <v>541</v>
      </c>
      <c r="B255" t="s">
        <v>83</v>
      </c>
      <c r="D255" t="s">
        <v>81</v>
      </c>
      <c r="K255" t="s">
        <v>217</v>
      </c>
      <c r="L255">
        <v>3</v>
      </c>
    </row>
    <row r="256" spans="1:12" x14ac:dyDescent="0.25">
      <c r="A256" t="s">
        <v>542</v>
      </c>
      <c r="B256" t="s">
        <v>80</v>
      </c>
      <c r="D256" t="s">
        <v>81</v>
      </c>
      <c r="K256" t="s">
        <v>218</v>
      </c>
      <c r="L256">
        <v>4</v>
      </c>
    </row>
    <row r="257" spans="1:12" x14ac:dyDescent="0.25">
      <c r="A257" t="s">
        <v>543</v>
      </c>
      <c r="B257" t="s">
        <v>219</v>
      </c>
      <c r="K257" t="s">
        <v>220</v>
      </c>
      <c r="L257">
        <v>251</v>
      </c>
    </row>
    <row r="258" spans="1:12" x14ac:dyDescent="0.25">
      <c r="A258" t="s">
        <v>544</v>
      </c>
      <c r="B258" t="s">
        <v>80</v>
      </c>
      <c r="D258" t="s">
        <v>81</v>
      </c>
      <c r="K258" t="s">
        <v>88</v>
      </c>
      <c r="L258">
        <v>4</v>
      </c>
    </row>
    <row r="259" spans="1:12" x14ac:dyDescent="0.25">
      <c r="L259">
        <f>SUM(Tableau31[Taille (Bytes)])</f>
        <v>312</v>
      </c>
    </row>
    <row r="260" spans="1:12" x14ac:dyDescent="0.25">
      <c r="A260" t="s">
        <v>545</v>
      </c>
    </row>
    <row r="261" spans="1:12" x14ac:dyDescent="0.25">
      <c r="A261" t="s">
        <v>69</v>
      </c>
      <c r="B261" t="s">
        <v>70</v>
      </c>
      <c r="C261" t="s">
        <v>71</v>
      </c>
      <c r="D261" t="s">
        <v>72</v>
      </c>
      <c r="E261" t="s">
        <v>73</v>
      </c>
      <c r="F261" t="s">
        <v>74</v>
      </c>
      <c r="G261" t="s">
        <v>75</v>
      </c>
      <c r="H261" t="s">
        <v>76</v>
      </c>
      <c r="I261" t="s">
        <v>77</v>
      </c>
      <c r="J261" t="s">
        <v>78</v>
      </c>
      <c r="K261" t="s">
        <v>79</v>
      </c>
      <c r="L261" t="s">
        <v>325</v>
      </c>
    </row>
    <row r="262" spans="1:12" x14ac:dyDescent="0.25">
      <c r="A262" t="s">
        <v>546</v>
      </c>
      <c r="B262" t="s">
        <v>80</v>
      </c>
      <c r="C262" t="s">
        <v>81</v>
      </c>
      <c r="D262" t="s">
        <v>81</v>
      </c>
      <c r="K262" t="s">
        <v>82</v>
      </c>
      <c r="L262">
        <v>4</v>
      </c>
    </row>
    <row r="263" spans="1:12" x14ac:dyDescent="0.25">
      <c r="A263" t="s">
        <v>547</v>
      </c>
      <c r="B263" t="s">
        <v>80</v>
      </c>
      <c r="D263" t="s">
        <v>81</v>
      </c>
      <c r="K263" t="s">
        <v>221</v>
      </c>
      <c r="L263">
        <v>4</v>
      </c>
    </row>
    <row r="264" spans="1:12" x14ac:dyDescent="0.25">
      <c r="A264" t="s">
        <v>548</v>
      </c>
      <c r="B264" t="s">
        <v>80</v>
      </c>
      <c r="D264" t="s">
        <v>81</v>
      </c>
      <c r="K264" t="s">
        <v>147</v>
      </c>
      <c r="L264">
        <v>4</v>
      </c>
    </row>
    <row r="265" spans="1:12" x14ac:dyDescent="0.25">
      <c r="A265" t="s">
        <v>443</v>
      </c>
      <c r="B265" t="s">
        <v>80</v>
      </c>
      <c r="C265" t="s">
        <v>81</v>
      </c>
      <c r="D265" t="s">
        <v>81</v>
      </c>
      <c r="K265" t="s">
        <v>155</v>
      </c>
      <c r="L265">
        <v>4</v>
      </c>
    </row>
    <row r="266" spans="1:12" x14ac:dyDescent="0.25">
      <c r="L266">
        <f>SUM(Tableau32[Taille (Bytes)])</f>
        <v>16</v>
      </c>
    </row>
    <row r="267" spans="1:12" x14ac:dyDescent="0.25">
      <c r="A267" t="s">
        <v>549</v>
      </c>
    </row>
    <row r="268" spans="1:12" x14ac:dyDescent="0.25">
      <c r="A268" t="s">
        <v>69</v>
      </c>
      <c r="B268" t="s">
        <v>70</v>
      </c>
      <c r="C268" t="s">
        <v>71</v>
      </c>
      <c r="D268" t="s">
        <v>72</v>
      </c>
      <c r="E268" t="s">
        <v>73</v>
      </c>
      <c r="F268" t="s">
        <v>74</v>
      </c>
      <c r="G268" t="s">
        <v>75</v>
      </c>
      <c r="H268" t="s">
        <v>76</v>
      </c>
      <c r="I268" t="s">
        <v>77</v>
      </c>
      <c r="J268" t="s">
        <v>78</v>
      </c>
      <c r="K268" t="s">
        <v>79</v>
      </c>
      <c r="L268" t="s">
        <v>325</v>
      </c>
    </row>
    <row r="269" spans="1:12" x14ac:dyDescent="0.25">
      <c r="A269" t="s">
        <v>550</v>
      </c>
      <c r="B269" t="s">
        <v>80</v>
      </c>
      <c r="C269" t="s">
        <v>81</v>
      </c>
      <c r="D269" t="s">
        <v>81</v>
      </c>
      <c r="K269" t="s">
        <v>82</v>
      </c>
      <c r="L269">
        <v>4</v>
      </c>
    </row>
    <row r="270" spans="1:12" x14ac:dyDescent="0.25">
      <c r="A270" t="s">
        <v>551</v>
      </c>
      <c r="B270" t="s">
        <v>94</v>
      </c>
      <c r="D270" t="s">
        <v>81</v>
      </c>
      <c r="K270" t="s">
        <v>222</v>
      </c>
      <c r="L270">
        <v>46</v>
      </c>
    </row>
    <row r="271" spans="1:12" x14ac:dyDescent="0.25">
      <c r="A271" t="s">
        <v>552</v>
      </c>
      <c r="B271" t="s">
        <v>94</v>
      </c>
      <c r="D271" t="s">
        <v>81</v>
      </c>
      <c r="K271" t="s">
        <v>223</v>
      </c>
      <c r="L271">
        <v>46</v>
      </c>
    </row>
    <row r="272" spans="1:12" x14ac:dyDescent="0.25">
      <c r="A272" t="s">
        <v>553</v>
      </c>
      <c r="B272" t="s">
        <v>94</v>
      </c>
      <c r="D272" t="s">
        <v>81</v>
      </c>
      <c r="K272" t="s">
        <v>168</v>
      </c>
      <c r="L272">
        <v>46</v>
      </c>
    </row>
    <row r="273" spans="1:12" x14ac:dyDescent="0.25">
      <c r="A273" t="s">
        <v>554</v>
      </c>
      <c r="B273" t="s">
        <v>94</v>
      </c>
      <c r="D273" t="s">
        <v>81</v>
      </c>
      <c r="K273" t="s">
        <v>224</v>
      </c>
      <c r="L273">
        <v>46</v>
      </c>
    </row>
    <row r="274" spans="1:12" x14ac:dyDescent="0.25">
      <c r="A274" t="s">
        <v>555</v>
      </c>
      <c r="B274" t="s">
        <v>94</v>
      </c>
      <c r="D274" t="s">
        <v>81</v>
      </c>
      <c r="K274" t="s">
        <v>225</v>
      </c>
      <c r="L274">
        <v>46</v>
      </c>
    </row>
    <row r="275" spans="1:12" x14ac:dyDescent="0.25">
      <c r="L275">
        <f>SUM(Tableau33[Taille (Bytes)])</f>
        <v>234</v>
      </c>
    </row>
    <row r="276" spans="1:12" x14ac:dyDescent="0.25">
      <c r="A276" s="4" t="s">
        <v>556</v>
      </c>
    </row>
    <row r="277" spans="1:12" x14ac:dyDescent="0.25">
      <c r="A277" t="s">
        <v>69</v>
      </c>
      <c r="B277" t="s">
        <v>70</v>
      </c>
      <c r="C277" t="s">
        <v>71</v>
      </c>
      <c r="D277" t="s">
        <v>72</v>
      </c>
      <c r="E277" t="s">
        <v>73</v>
      </c>
      <c r="F277" t="s">
        <v>74</v>
      </c>
      <c r="G277" t="s">
        <v>75</v>
      </c>
      <c r="H277" t="s">
        <v>76</v>
      </c>
      <c r="I277" t="s">
        <v>77</v>
      </c>
      <c r="J277" t="s">
        <v>78</v>
      </c>
      <c r="K277" t="s">
        <v>79</v>
      </c>
      <c r="L277" t="s">
        <v>325</v>
      </c>
    </row>
    <row r="278" spans="1:12" x14ac:dyDescent="0.25">
      <c r="A278" t="s">
        <v>557</v>
      </c>
      <c r="B278" t="s">
        <v>80</v>
      </c>
      <c r="K278" t="s">
        <v>82</v>
      </c>
      <c r="L278">
        <v>4</v>
      </c>
    </row>
    <row r="279" spans="1:12" x14ac:dyDescent="0.25">
      <c r="A279" t="s">
        <v>558</v>
      </c>
      <c r="B279" t="s">
        <v>94</v>
      </c>
      <c r="K279" t="s">
        <v>226</v>
      </c>
      <c r="L279">
        <v>46</v>
      </c>
    </row>
    <row r="280" spans="1:12" x14ac:dyDescent="0.25">
      <c r="L280">
        <f>SUM(Tableau34[Taille (Bytes)])</f>
        <v>50</v>
      </c>
    </row>
    <row r="281" spans="1:12" x14ac:dyDescent="0.25">
      <c r="A281" s="5" t="s">
        <v>559</v>
      </c>
    </row>
    <row r="282" spans="1:12" x14ac:dyDescent="0.25">
      <c r="A282" t="s">
        <v>69</v>
      </c>
      <c r="B282" t="s">
        <v>70</v>
      </c>
      <c r="C282" t="s">
        <v>71</v>
      </c>
      <c r="D282" t="s">
        <v>72</v>
      </c>
      <c r="E282" t="s">
        <v>73</v>
      </c>
      <c r="F282" t="s">
        <v>74</v>
      </c>
      <c r="G282" t="s">
        <v>75</v>
      </c>
      <c r="H282" t="s">
        <v>76</v>
      </c>
      <c r="I282" t="s">
        <v>77</v>
      </c>
      <c r="J282" t="s">
        <v>78</v>
      </c>
      <c r="K282" t="s">
        <v>79</v>
      </c>
      <c r="L282" t="s">
        <v>325</v>
      </c>
    </row>
    <row r="283" spans="1:12" x14ac:dyDescent="0.25">
      <c r="A283" t="s">
        <v>560</v>
      </c>
      <c r="B283" t="s">
        <v>80</v>
      </c>
      <c r="C283" t="s">
        <v>81</v>
      </c>
      <c r="D283" t="s">
        <v>81</v>
      </c>
      <c r="K283" t="s">
        <v>82</v>
      </c>
      <c r="L283">
        <v>4</v>
      </c>
    </row>
    <row r="284" spans="1:12" x14ac:dyDescent="0.25">
      <c r="A284" t="s">
        <v>561</v>
      </c>
      <c r="B284" t="s">
        <v>80</v>
      </c>
      <c r="D284" t="s">
        <v>81</v>
      </c>
      <c r="K284" t="s">
        <v>227</v>
      </c>
      <c r="L284">
        <v>4</v>
      </c>
    </row>
    <row r="285" spans="1:12" x14ac:dyDescent="0.25">
      <c r="A285" t="s">
        <v>562</v>
      </c>
      <c r="B285" t="s">
        <v>228</v>
      </c>
      <c r="D285" t="s">
        <v>81</v>
      </c>
      <c r="K285" t="s">
        <v>229</v>
      </c>
      <c r="L285">
        <v>301</v>
      </c>
    </row>
    <row r="286" spans="1:12" x14ac:dyDescent="0.25">
      <c r="L286">
        <f>SUM(Tableau35[Taille (Bytes)])</f>
        <v>309</v>
      </c>
    </row>
    <row r="287" spans="1:12" x14ac:dyDescent="0.25">
      <c r="A287" t="s">
        <v>563</v>
      </c>
    </row>
    <row r="288" spans="1:12" x14ac:dyDescent="0.25">
      <c r="A288" t="s">
        <v>69</v>
      </c>
      <c r="B288" t="s">
        <v>70</v>
      </c>
      <c r="C288" t="s">
        <v>71</v>
      </c>
      <c r="D288" t="s">
        <v>72</v>
      </c>
      <c r="E288" t="s">
        <v>73</v>
      </c>
      <c r="F288" t="s">
        <v>74</v>
      </c>
      <c r="G288" t="s">
        <v>75</v>
      </c>
      <c r="H288" t="s">
        <v>76</v>
      </c>
      <c r="I288" t="s">
        <v>77</v>
      </c>
      <c r="J288" t="s">
        <v>78</v>
      </c>
      <c r="K288" t="s">
        <v>79</v>
      </c>
      <c r="L288" t="s">
        <v>325</v>
      </c>
    </row>
    <row r="289" spans="1:12" x14ac:dyDescent="0.25">
      <c r="A289" t="s">
        <v>564</v>
      </c>
      <c r="B289" t="s">
        <v>80</v>
      </c>
      <c r="C289" t="s">
        <v>81</v>
      </c>
      <c r="D289" t="s">
        <v>81</v>
      </c>
      <c r="K289" t="s">
        <v>82</v>
      </c>
      <c r="L289">
        <v>4</v>
      </c>
    </row>
    <row r="290" spans="1:12" x14ac:dyDescent="0.25">
      <c r="A290" t="s">
        <v>565</v>
      </c>
      <c r="B290" t="s">
        <v>94</v>
      </c>
      <c r="D290" t="s">
        <v>81</v>
      </c>
      <c r="K290" t="s">
        <v>230</v>
      </c>
      <c r="L290">
        <v>46</v>
      </c>
    </row>
    <row r="291" spans="1:12" x14ac:dyDescent="0.25">
      <c r="A291" t="s">
        <v>566</v>
      </c>
      <c r="B291" t="s">
        <v>94</v>
      </c>
      <c r="D291" t="s">
        <v>81</v>
      </c>
      <c r="K291" t="s">
        <v>231</v>
      </c>
      <c r="L291">
        <v>46</v>
      </c>
    </row>
    <row r="292" spans="1:12" x14ac:dyDescent="0.25">
      <c r="A292" t="s">
        <v>567</v>
      </c>
      <c r="B292" t="s">
        <v>94</v>
      </c>
      <c r="K292" t="s">
        <v>232</v>
      </c>
      <c r="L292">
        <v>46</v>
      </c>
    </row>
    <row r="293" spans="1:12" x14ac:dyDescent="0.25">
      <c r="A293" t="s">
        <v>568</v>
      </c>
      <c r="B293" t="s">
        <v>80</v>
      </c>
      <c r="D293" t="s">
        <v>81</v>
      </c>
      <c r="K293" t="s">
        <v>233</v>
      </c>
      <c r="L293">
        <v>4</v>
      </c>
    </row>
    <row r="294" spans="1:12" x14ac:dyDescent="0.25">
      <c r="L294">
        <f>SUM(Tableau36[Taille (Bytes)])</f>
        <v>146</v>
      </c>
    </row>
    <row r="295" spans="1:12" x14ac:dyDescent="0.25">
      <c r="A295" t="s">
        <v>569</v>
      </c>
    </row>
    <row r="296" spans="1:12" x14ac:dyDescent="0.25">
      <c r="A296" t="s">
        <v>69</v>
      </c>
      <c r="B296" t="s">
        <v>70</v>
      </c>
      <c r="C296" t="s">
        <v>71</v>
      </c>
      <c r="D296" t="s">
        <v>72</v>
      </c>
      <c r="E296" t="s">
        <v>73</v>
      </c>
      <c r="F296" t="s">
        <v>74</v>
      </c>
      <c r="G296" t="s">
        <v>75</v>
      </c>
      <c r="H296" t="s">
        <v>76</v>
      </c>
      <c r="I296" t="s">
        <v>77</v>
      </c>
      <c r="J296" t="s">
        <v>78</v>
      </c>
      <c r="K296" t="s">
        <v>79</v>
      </c>
      <c r="L296" t="s">
        <v>325</v>
      </c>
    </row>
    <row r="297" spans="1:12" x14ac:dyDescent="0.25">
      <c r="A297" t="s">
        <v>570</v>
      </c>
      <c r="B297" t="s">
        <v>80</v>
      </c>
      <c r="C297" t="s">
        <v>81</v>
      </c>
      <c r="D297" t="s">
        <v>81</v>
      </c>
      <c r="K297" t="s">
        <v>234</v>
      </c>
      <c r="L297">
        <v>4</v>
      </c>
    </row>
    <row r="298" spans="1:12" x14ac:dyDescent="0.25">
      <c r="A298" t="s">
        <v>571</v>
      </c>
      <c r="B298" t="s">
        <v>94</v>
      </c>
      <c r="K298" t="s">
        <v>235</v>
      </c>
      <c r="L298">
        <v>46</v>
      </c>
    </row>
    <row r="299" spans="1:12" x14ac:dyDescent="0.25">
      <c r="A299" t="s">
        <v>572</v>
      </c>
      <c r="B299" t="s">
        <v>83</v>
      </c>
      <c r="D299" t="s">
        <v>81</v>
      </c>
      <c r="K299" t="s">
        <v>236</v>
      </c>
      <c r="L299">
        <v>3</v>
      </c>
    </row>
    <row r="300" spans="1:12" x14ac:dyDescent="0.25">
      <c r="A300" t="s">
        <v>573</v>
      </c>
      <c r="B300" t="s">
        <v>83</v>
      </c>
      <c r="D300" t="s">
        <v>81</v>
      </c>
      <c r="K300" t="s">
        <v>237</v>
      </c>
      <c r="L300">
        <v>3</v>
      </c>
    </row>
    <row r="301" spans="1:12" x14ac:dyDescent="0.25">
      <c r="A301" t="s">
        <v>574</v>
      </c>
      <c r="B301" t="s">
        <v>80</v>
      </c>
      <c r="D301" t="s">
        <v>81</v>
      </c>
      <c r="K301" t="s">
        <v>238</v>
      </c>
      <c r="L301">
        <v>4</v>
      </c>
    </row>
    <row r="302" spans="1:12" x14ac:dyDescent="0.25">
      <c r="A302" t="s">
        <v>575</v>
      </c>
      <c r="B302" t="s">
        <v>120</v>
      </c>
      <c r="D302" t="s">
        <v>81</v>
      </c>
      <c r="K302" t="s">
        <v>239</v>
      </c>
      <c r="L302">
        <v>1</v>
      </c>
    </row>
    <row r="303" spans="1:12" x14ac:dyDescent="0.25">
      <c r="L303">
        <f>SUM(Tableau37[Taille (Bytes)])</f>
        <v>61</v>
      </c>
    </row>
    <row r="304" spans="1:12" x14ac:dyDescent="0.25">
      <c r="A304" s="4" t="s">
        <v>576</v>
      </c>
    </row>
    <row r="305" spans="1:12" x14ac:dyDescent="0.25">
      <c r="A305" t="s">
        <v>69</v>
      </c>
      <c r="B305" t="s">
        <v>70</v>
      </c>
      <c r="C305" t="s">
        <v>71</v>
      </c>
      <c r="D305" t="s">
        <v>72</v>
      </c>
      <c r="E305" t="s">
        <v>73</v>
      </c>
      <c r="F305" t="s">
        <v>74</v>
      </c>
      <c r="G305" t="s">
        <v>75</v>
      </c>
      <c r="H305" t="s">
        <v>76</v>
      </c>
      <c r="I305" t="s">
        <v>77</v>
      </c>
      <c r="J305" t="s">
        <v>78</v>
      </c>
      <c r="K305" t="s">
        <v>79</v>
      </c>
      <c r="L305" t="s">
        <v>325</v>
      </c>
    </row>
    <row r="306" spans="1:12" x14ac:dyDescent="0.25">
      <c r="A306" t="s">
        <v>577</v>
      </c>
      <c r="B306" t="s">
        <v>80</v>
      </c>
      <c r="C306" t="s">
        <v>81</v>
      </c>
      <c r="D306" t="s">
        <v>81</v>
      </c>
      <c r="L306">
        <v>4</v>
      </c>
    </row>
    <row r="307" spans="1:12" x14ac:dyDescent="0.25">
      <c r="A307" t="s">
        <v>578</v>
      </c>
      <c r="B307" t="s">
        <v>80</v>
      </c>
      <c r="C307" t="s">
        <v>81</v>
      </c>
      <c r="D307" t="s">
        <v>81</v>
      </c>
      <c r="L307">
        <v>4</v>
      </c>
    </row>
    <row r="308" spans="1:12" x14ac:dyDescent="0.25">
      <c r="L308">
        <f>SUM(Tableau38[Taille (Bytes)])</f>
        <v>8</v>
      </c>
    </row>
    <row r="309" spans="1:12" x14ac:dyDescent="0.25">
      <c r="A309" s="5" t="s">
        <v>579</v>
      </c>
    </row>
    <row r="310" spans="1:12" x14ac:dyDescent="0.25">
      <c r="A310" t="s">
        <v>69</v>
      </c>
      <c r="B310" t="s">
        <v>70</v>
      </c>
      <c r="C310" t="s">
        <v>71</v>
      </c>
      <c r="D310" t="s">
        <v>72</v>
      </c>
      <c r="E310" t="s">
        <v>73</v>
      </c>
      <c r="F310" t="s">
        <v>74</v>
      </c>
      <c r="G310" t="s">
        <v>75</v>
      </c>
      <c r="H310" t="s">
        <v>76</v>
      </c>
      <c r="I310" t="s">
        <v>77</v>
      </c>
      <c r="J310" t="s">
        <v>78</v>
      </c>
      <c r="K310" t="s">
        <v>79</v>
      </c>
      <c r="L310" t="s">
        <v>325</v>
      </c>
    </row>
    <row r="311" spans="1:12" x14ac:dyDescent="0.25">
      <c r="A311" t="s">
        <v>580</v>
      </c>
      <c r="B311" t="s">
        <v>80</v>
      </c>
      <c r="D311" t="s">
        <v>81</v>
      </c>
      <c r="K311" t="s">
        <v>82</v>
      </c>
      <c r="L311">
        <v>4</v>
      </c>
    </row>
    <row r="312" spans="1:12" x14ac:dyDescent="0.25">
      <c r="A312" t="s">
        <v>581</v>
      </c>
      <c r="B312" t="s">
        <v>94</v>
      </c>
      <c r="D312" t="s">
        <v>81</v>
      </c>
      <c r="K312" t="s">
        <v>240</v>
      </c>
      <c r="L312">
        <v>46</v>
      </c>
    </row>
    <row r="313" spans="1:12" x14ac:dyDescent="0.25">
      <c r="L313">
        <f>SUM(Tableau39[Taille (Bytes)])</f>
        <v>50</v>
      </c>
    </row>
    <row r="314" spans="1:12" x14ac:dyDescent="0.25">
      <c r="A314" s="4" t="s">
        <v>582</v>
      </c>
    </row>
    <row r="315" spans="1:12" x14ac:dyDescent="0.25">
      <c r="A315" t="s">
        <v>69</v>
      </c>
      <c r="B315" t="s">
        <v>70</v>
      </c>
      <c r="C315" t="s">
        <v>71</v>
      </c>
      <c r="D315" t="s">
        <v>72</v>
      </c>
      <c r="E315" t="s">
        <v>73</v>
      </c>
      <c r="F315" t="s">
        <v>74</v>
      </c>
      <c r="G315" t="s">
        <v>75</v>
      </c>
      <c r="H315" t="s">
        <v>76</v>
      </c>
      <c r="I315" t="s">
        <v>77</v>
      </c>
      <c r="J315" t="s">
        <v>78</v>
      </c>
      <c r="K315" t="s">
        <v>79</v>
      </c>
      <c r="L315" t="s">
        <v>325</v>
      </c>
    </row>
    <row r="316" spans="1:12" x14ac:dyDescent="0.25">
      <c r="A316" t="s">
        <v>583</v>
      </c>
      <c r="B316" t="s">
        <v>80</v>
      </c>
      <c r="C316" t="s">
        <v>81</v>
      </c>
      <c r="D316" t="s">
        <v>81</v>
      </c>
      <c r="K316" t="s">
        <v>82</v>
      </c>
      <c r="L316">
        <v>4</v>
      </c>
    </row>
    <row r="317" spans="1:12" x14ac:dyDescent="0.25">
      <c r="A317" t="s">
        <v>584</v>
      </c>
      <c r="B317" t="s">
        <v>94</v>
      </c>
      <c r="D317" t="s">
        <v>81</v>
      </c>
      <c r="K317" t="s">
        <v>241</v>
      </c>
      <c r="L317">
        <v>46</v>
      </c>
    </row>
    <row r="318" spans="1:12" x14ac:dyDescent="0.25">
      <c r="A318" t="s">
        <v>585</v>
      </c>
      <c r="B318" t="s">
        <v>94</v>
      </c>
      <c r="D318" t="s">
        <v>81</v>
      </c>
      <c r="K318" t="s">
        <v>242</v>
      </c>
      <c r="L318">
        <v>46</v>
      </c>
    </row>
    <row r="319" spans="1:12" x14ac:dyDescent="0.25">
      <c r="A319" t="s">
        <v>586</v>
      </c>
      <c r="B319" t="s">
        <v>94</v>
      </c>
      <c r="D319" t="s">
        <v>81</v>
      </c>
      <c r="K319" t="s">
        <v>168</v>
      </c>
      <c r="L319">
        <v>46</v>
      </c>
    </row>
    <row r="320" spans="1:12" x14ac:dyDescent="0.25">
      <c r="A320" t="s">
        <v>587</v>
      </c>
      <c r="B320" t="s">
        <v>94</v>
      </c>
      <c r="D320" t="s">
        <v>81</v>
      </c>
      <c r="K320" t="s">
        <v>169</v>
      </c>
      <c r="L320">
        <v>46</v>
      </c>
    </row>
    <row r="321" spans="1:12" x14ac:dyDescent="0.25">
      <c r="A321" t="s">
        <v>588</v>
      </c>
      <c r="B321" t="s">
        <v>94</v>
      </c>
      <c r="D321" t="s">
        <v>81</v>
      </c>
      <c r="K321" t="s">
        <v>243</v>
      </c>
      <c r="L321">
        <v>46</v>
      </c>
    </row>
    <row r="322" spans="1:12" x14ac:dyDescent="0.25">
      <c r="A322" t="s">
        <v>589</v>
      </c>
      <c r="B322" t="s">
        <v>94</v>
      </c>
      <c r="D322" t="s">
        <v>81</v>
      </c>
      <c r="K322" t="s">
        <v>244</v>
      </c>
      <c r="L322">
        <v>46</v>
      </c>
    </row>
    <row r="323" spans="1:12" x14ac:dyDescent="0.25">
      <c r="A323" t="s">
        <v>590</v>
      </c>
      <c r="B323" t="s">
        <v>94</v>
      </c>
      <c r="K323" t="s">
        <v>245</v>
      </c>
      <c r="L323">
        <v>46</v>
      </c>
    </row>
    <row r="324" spans="1:12" x14ac:dyDescent="0.25">
      <c r="A324" t="s">
        <v>591</v>
      </c>
      <c r="B324" t="s">
        <v>94</v>
      </c>
      <c r="K324" t="s">
        <v>246</v>
      </c>
      <c r="L324">
        <v>46</v>
      </c>
    </row>
    <row r="325" spans="1:12" x14ac:dyDescent="0.25">
      <c r="L325">
        <f>SUM(Tableau40[Taille (Bytes)])</f>
        <v>372</v>
      </c>
    </row>
    <row r="326" spans="1:12" x14ac:dyDescent="0.25">
      <c r="A326" t="s">
        <v>592</v>
      </c>
    </row>
    <row r="327" spans="1:12" x14ac:dyDescent="0.25">
      <c r="A327" t="s">
        <v>69</v>
      </c>
      <c r="B327" t="s">
        <v>70</v>
      </c>
      <c r="C327" t="s">
        <v>71</v>
      </c>
      <c r="D327" t="s">
        <v>72</v>
      </c>
      <c r="E327" t="s">
        <v>73</v>
      </c>
      <c r="F327" t="s">
        <v>74</v>
      </c>
      <c r="G327" t="s">
        <v>75</v>
      </c>
      <c r="H327" t="s">
        <v>76</v>
      </c>
      <c r="I327" t="s">
        <v>77</v>
      </c>
      <c r="J327" t="s">
        <v>78</v>
      </c>
      <c r="K327" t="s">
        <v>79</v>
      </c>
      <c r="L327" t="s">
        <v>325</v>
      </c>
    </row>
    <row r="328" spans="1:12" x14ac:dyDescent="0.25">
      <c r="A328" t="s">
        <v>593</v>
      </c>
      <c r="B328" t="s">
        <v>80</v>
      </c>
      <c r="C328" t="s">
        <v>81</v>
      </c>
      <c r="D328" t="s">
        <v>81</v>
      </c>
      <c r="K328" t="s">
        <v>82</v>
      </c>
      <c r="L328">
        <v>4</v>
      </c>
    </row>
    <row r="329" spans="1:12" x14ac:dyDescent="0.25">
      <c r="A329" t="s">
        <v>594</v>
      </c>
      <c r="B329" t="s">
        <v>109</v>
      </c>
      <c r="D329" t="s">
        <v>81</v>
      </c>
      <c r="K329" t="s">
        <v>247</v>
      </c>
      <c r="L329">
        <v>4</v>
      </c>
    </row>
    <row r="330" spans="1:12" x14ac:dyDescent="0.25">
      <c r="A330" t="s">
        <v>595</v>
      </c>
      <c r="B330" t="s">
        <v>109</v>
      </c>
      <c r="D330" t="s">
        <v>81</v>
      </c>
      <c r="K330" t="s">
        <v>248</v>
      </c>
      <c r="L330">
        <v>4</v>
      </c>
    </row>
    <row r="331" spans="1:12" x14ac:dyDescent="0.25">
      <c r="A331" t="s">
        <v>596</v>
      </c>
      <c r="B331" t="s">
        <v>109</v>
      </c>
      <c r="D331" t="s">
        <v>81</v>
      </c>
      <c r="K331" t="s">
        <v>248</v>
      </c>
      <c r="L331">
        <v>4</v>
      </c>
    </row>
    <row r="332" spans="1:12" x14ac:dyDescent="0.25">
      <c r="L332">
        <f>SUM(Tableau41[Taille (Bytes)])</f>
        <v>16</v>
      </c>
    </row>
    <row r="333" spans="1:12" x14ac:dyDescent="0.25">
      <c r="A333" t="s">
        <v>597</v>
      </c>
    </row>
    <row r="334" spans="1:12" x14ac:dyDescent="0.25">
      <c r="A334" t="s">
        <v>69</v>
      </c>
      <c r="B334" t="s">
        <v>70</v>
      </c>
      <c r="C334" t="s">
        <v>71</v>
      </c>
      <c r="D334" t="s">
        <v>72</v>
      </c>
      <c r="E334" t="s">
        <v>73</v>
      </c>
      <c r="F334" t="s">
        <v>74</v>
      </c>
      <c r="G334" t="s">
        <v>75</v>
      </c>
      <c r="H334" t="s">
        <v>76</v>
      </c>
      <c r="I334" t="s">
        <v>77</v>
      </c>
      <c r="J334" t="s">
        <v>78</v>
      </c>
      <c r="K334" t="s">
        <v>79</v>
      </c>
      <c r="L334" t="s">
        <v>325</v>
      </c>
    </row>
    <row r="335" spans="1:12" x14ac:dyDescent="0.25">
      <c r="A335" t="s">
        <v>598</v>
      </c>
      <c r="B335" t="s">
        <v>80</v>
      </c>
      <c r="C335" t="s">
        <v>81</v>
      </c>
      <c r="D335" t="s">
        <v>81</v>
      </c>
      <c r="K335" t="s">
        <v>82</v>
      </c>
      <c r="L335">
        <v>4</v>
      </c>
    </row>
    <row r="336" spans="1:12" x14ac:dyDescent="0.25">
      <c r="A336" t="s">
        <v>599</v>
      </c>
      <c r="B336" t="s">
        <v>94</v>
      </c>
      <c r="D336" t="s">
        <v>81</v>
      </c>
      <c r="K336" t="s">
        <v>249</v>
      </c>
      <c r="L336">
        <v>46</v>
      </c>
    </row>
    <row r="337" spans="1:12" x14ac:dyDescent="0.25">
      <c r="A337" t="s">
        <v>600</v>
      </c>
      <c r="B337" t="s">
        <v>250</v>
      </c>
      <c r="D337" t="s">
        <v>81</v>
      </c>
      <c r="K337" t="s">
        <v>251</v>
      </c>
      <c r="L337">
        <v>5</v>
      </c>
    </row>
    <row r="338" spans="1:12" x14ac:dyDescent="0.25">
      <c r="A338" t="s">
        <v>601</v>
      </c>
      <c r="B338" t="s">
        <v>250</v>
      </c>
      <c r="K338" t="s">
        <v>252</v>
      </c>
      <c r="L338">
        <v>5</v>
      </c>
    </row>
    <row r="339" spans="1:12" x14ac:dyDescent="0.25">
      <c r="A339" t="s">
        <v>602</v>
      </c>
      <c r="B339" t="s">
        <v>250</v>
      </c>
      <c r="K339" t="s">
        <v>253</v>
      </c>
      <c r="L339">
        <v>5</v>
      </c>
    </row>
    <row r="340" spans="1:12" x14ac:dyDescent="0.25">
      <c r="A340" t="s">
        <v>603</v>
      </c>
      <c r="B340" t="s">
        <v>120</v>
      </c>
      <c r="D340" t="s">
        <v>81</v>
      </c>
      <c r="K340" t="s">
        <v>254</v>
      </c>
      <c r="L340">
        <v>1</v>
      </c>
    </row>
    <row r="341" spans="1:12" x14ac:dyDescent="0.25">
      <c r="L341">
        <f>SUM(Tableau42[Taille (Bytes)])</f>
        <v>66</v>
      </c>
    </row>
    <row r="342" spans="1:12" x14ac:dyDescent="0.25">
      <c r="A342" s="4" t="s">
        <v>604</v>
      </c>
    </row>
    <row r="343" spans="1:12" x14ac:dyDescent="0.25">
      <c r="A343" t="s">
        <v>69</v>
      </c>
      <c r="B343" t="s">
        <v>70</v>
      </c>
      <c r="C343" t="s">
        <v>71</v>
      </c>
      <c r="D343" t="s">
        <v>72</v>
      </c>
      <c r="E343" t="s">
        <v>73</v>
      </c>
      <c r="F343" t="s">
        <v>74</v>
      </c>
      <c r="G343" t="s">
        <v>75</v>
      </c>
      <c r="H343" t="s">
        <v>76</v>
      </c>
      <c r="I343" t="s">
        <v>77</v>
      </c>
      <c r="J343" t="s">
        <v>78</v>
      </c>
      <c r="K343" t="s">
        <v>79</v>
      </c>
      <c r="L343" t="s">
        <v>325</v>
      </c>
    </row>
    <row r="344" spans="1:12" x14ac:dyDescent="0.25">
      <c r="A344" t="s">
        <v>605</v>
      </c>
      <c r="B344" t="s">
        <v>80</v>
      </c>
      <c r="D344" t="s">
        <v>81</v>
      </c>
      <c r="L344">
        <v>4</v>
      </c>
    </row>
    <row r="345" spans="1:12" x14ac:dyDescent="0.25">
      <c r="A345" t="s">
        <v>606</v>
      </c>
      <c r="B345" t="s">
        <v>80</v>
      </c>
      <c r="D345" t="s">
        <v>81</v>
      </c>
      <c r="L345">
        <v>4</v>
      </c>
    </row>
    <row r="346" spans="1:12" x14ac:dyDescent="0.25">
      <c r="L346">
        <f>SUM(Tableau43[Taille (Bytes)])</f>
        <v>8</v>
      </c>
    </row>
    <row r="347" spans="1:12" x14ac:dyDescent="0.25">
      <c r="A347" t="s">
        <v>607</v>
      </c>
    </row>
    <row r="348" spans="1:12" x14ac:dyDescent="0.25">
      <c r="A348" t="s">
        <v>69</v>
      </c>
      <c r="B348" t="s">
        <v>70</v>
      </c>
      <c r="C348" t="s">
        <v>71</v>
      </c>
      <c r="D348" t="s">
        <v>72</v>
      </c>
      <c r="E348" t="s">
        <v>73</v>
      </c>
      <c r="F348" t="s">
        <v>74</v>
      </c>
      <c r="G348" t="s">
        <v>75</v>
      </c>
      <c r="H348" t="s">
        <v>76</v>
      </c>
      <c r="I348" t="s">
        <v>77</v>
      </c>
      <c r="J348" t="s">
        <v>78</v>
      </c>
      <c r="K348" t="s">
        <v>79</v>
      </c>
      <c r="L348" t="s">
        <v>325</v>
      </c>
    </row>
    <row r="349" spans="1:12" x14ac:dyDescent="0.25">
      <c r="A349" t="s">
        <v>608</v>
      </c>
      <c r="B349" t="s">
        <v>80</v>
      </c>
      <c r="C349" t="s">
        <v>81</v>
      </c>
      <c r="D349" t="s">
        <v>81</v>
      </c>
      <c r="K349" t="s">
        <v>82</v>
      </c>
      <c r="L349">
        <v>4</v>
      </c>
    </row>
    <row r="350" spans="1:12" x14ac:dyDescent="0.25">
      <c r="A350" t="s">
        <v>609</v>
      </c>
      <c r="B350" t="s">
        <v>94</v>
      </c>
      <c r="D350" t="s">
        <v>81</v>
      </c>
      <c r="K350" t="s">
        <v>255</v>
      </c>
      <c r="L350">
        <v>46</v>
      </c>
    </row>
    <row r="351" spans="1:12" x14ac:dyDescent="0.25">
      <c r="A351" t="s">
        <v>610</v>
      </c>
      <c r="B351" t="s">
        <v>250</v>
      </c>
      <c r="D351" t="s">
        <v>81</v>
      </c>
      <c r="K351" t="s">
        <v>256</v>
      </c>
      <c r="L351">
        <v>5</v>
      </c>
    </row>
    <row r="352" spans="1:12" x14ac:dyDescent="0.25">
      <c r="A352" t="s">
        <v>611</v>
      </c>
      <c r="B352" t="s">
        <v>250</v>
      </c>
      <c r="D352" t="s">
        <v>81</v>
      </c>
      <c r="K352" t="s">
        <v>257</v>
      </c>
      <c r="L352">
        <v>5</v>
      </c>
    </row>
    <row r="353" spans="1:12" x14ac:dyDescent="0.25">
      <c r="A353" t="s">
        <v>612</v>
      </c>
      <c r="B353" t="s">
        <v>250</v>
      </c>
      <c r="D353" t="s">
        <v>81</v>
      </c>
      <c r="K353" t="s">
        <v>258</v>
      </c>
      <c r="L353">
        <v>5</v>
      </c>
    </row>
    <row r="354" spans="1:12" x14ac:dyDescent="0.25">
      <c r="A354" t="s">
        <v>613</v>
      </c>
      <c r="B354" t="s">
        <v>250</v>
      </c>
      <c r="D354" t="s">
        <v>81</v>
      </c>
      <c r="K354" t="s">
        <v>259</v>
      </c>
      <c r="L354">
        <v>5</v>
      </c>
    </row>
    <row r="355" spans="1:12" x14ac:dyDescent="0.25">
      <c r="A355" t="s">
        <v>614</v>
      </c>
      <c r="B355" t="s">
        <v>250</v>
      </c>
      <c r="D355" t="s">
        <v>81</v>
      </c>
      <c r="K355" t="s">
        <v>260</v>
      </c>
      <c r="L355">
        <v>5</v>
      </c>
    </row>
    <row r="356" spans="1:12" x14ac:dyDescent="0.25">
      <c r="A356" t="s">
        <v>615</v>
      </c>
      <c r="B356" t="s">
        <v>250</v>
      </c>
      <c r="D356" t="s">
        <v>81</v>
      </c>
      <c r="K356" t="s">
        <v>261</v>
      </c>
      <c r="L356">
        <v>5</v>
      </c>
    </row>
    <row r="357" spans="1:12" x14ac:dyDescent="0.25">
      <c r="L357">
        <f>SUM(Tableau44[Taille (Bytes)])</f>
        <v>80</v>
      </c>
    </row>
    <row r="358" spans="1:12" ht="15.75" customHeight="1" x14ac:dyDescent="0.25">
      <c r="A358" t="s">
        <v>616</v>
      </c>
    </row>
    <row r="359" spans="1:12" x14ac:dyDescent="0.25">
      <c r="A359" t="s">
        <v>69</v>
      </c>
      <c r="B359" t="s">
        <v>70</v>
      </c>
      <c r="C359" t="s">
        <v>71</v>
      </c>
      <c r="D359" t="s">
        <v>72</v>
      </c>
      <c r="E359" t="s">
        <v>73</v>
      </c>
      <c r="F359" t="s">
        <v>74</v>
      </c>
      <c r="G359" t="s">
        <v>75</v>
      </c>
      <c r="H359" t="s">
        <v>76</v>
      </c>
      <c r="I359" t="s">
        <v>77</v>
      </c>
      <c r="J359" t="s">
        <v>78</v>
      </c>
      <c r="K359" t="s">
        <v>79</v>
      </c>
      <c r="L359" t="s">
        <v>325</v>
      </c>
    </row>
    <row r="360" spans="1:12" x14ac:dyDescent="0.25">
      <c r="A360" t="s">
        <v>617</v>
      </c>
      <c r="B360" t="s">
        <v>80</v>
      </c>
      <c r="C360" t="s">
        <v>81</v>
      </c>
      <c r="D360" t="s">
        <v>81</v>
      </c>
      <c r="K360" t="s">
        <v>262</v>
      </c>
      <c r="L360">
        <v>4</v>
      </c>
    </row>
    <row r="361" spans="1:12" x14ac:dyDescent="0.25">
      <c r="A361" t="s">
        <v>618</v>
      </c>
      <c r="B361" t="s">
        <v>250</v>
      </c>
      <c r="D361" t="s">
        <v>81</v>
      </c>
      <c r="K361" t="s">
        <v>263</v>
      </c>
      <c r="L361">
        <v>5</v>
      </c>
    </row>
    <row r="362" spans="1:12" x14ac:dyDescent="0.25">
      <c r="A362" t="s">
        <v>619</v>
      </c>
      <c r="B362" t="s">
        <v>80</v>
      </c>
      <c r="D362" t="s">
        <v>81</v>
      </c>
      <c r="K362" t="s">
        <v>264</v>
      </c>
      <c r="L362">
        <v>4</v>
      </c>
    </row>
    <row r="363" spans="1:12" x14ac:dyDescent="0.25">
      <c r="A363" t="s">
        <v>620</v>
      </c>
      <c r="B363" t="s">
        <v>80</v>
      </c>
      <c r="K363" t="s">
        <v>621</v>
      </c>
      <c r="L363">
        <v>4</v>
      </c>
    </row>
    <row r="364" spans="1:12" x14ac:dyDescent="0.25">
      <c r="L364">
        <f>SUM(Tableau45[Taille (Bytes)])</f>
        <v>17</v>
      </c>
    </row>
    <row r="365" spans="1:12" x14ac:dyDescent="0.25">
      <c r="A365" t="s">
        <v>622</v>
      </c>
    </row>
    <row r="366" spans="1:12" x14ac:dyDescent="0.25">
      <c r="A366" t="s">
        <v>69</v>
      </c>
      <c r="B366" t="s">
        <v>70</v>
      </c>
      <c r="C366" t="s">
        <v>71</v>
      </c>
      <c r="D366" t="s">
        <v>72</v>
      </c>
      <c r="E366" t="s">
        <v>73</v>
      </c>
      <c r="F366" t="s">
        <v>74</v>
      </c>
      <c r="G366" t="s">
        <v>75</v>
      </c>
      <c r="H366" t="s">
        <v>76</v>
      </c>
      <c r="I366" t="s">
        <v>77</v>
      </c>
      <c r="J366" t="s">
        <v>78</v>
      </c>
      <c r="K366" t="s">
        <v>79</v>
      </c>
      <c r="L366" t="s">
        <v>325</v>
      </c>
    </row>
    <row r="367" spans="1:12" x14ac:dyDescent="0.25">
      <c r="A367" t="s">
        <v>623</v>
      </c>
      <c r="B367" t="s">
        <v>80</v>
      </c>
      <c r="D367" t="s">
        <v>81</v>
      </c>
      <c r="L367">
        <v>4</v>
      </c>
    </row>
    <row r="368" spans="1:12" x14ac:dyDescent="0.25">
      <c r="A368" t="s">
        <v>624</v>
      </c>
      <c r="B368" t="s">
        <v>80</v>
      </c>
      <c r="D368" t="s">
        <v>81</v>
      </c>
      <c r="L368">
        <v>4</v>
      </c>
    </row>
    <row r="369" spans="1:12" x14ac:dyDescent="0.25">
      <c r="L369">
        <f>SUM(Tableau46[Taille (Bytes)])</f>
        <v>8</v>
      </c>
    </row>
    <row r="370" spans="1:12" x14ac:dyDescent="0.25">
      <c r="A370" s="4" t="s">
        <v>625</v>
      </c>
    </row>
    <row r="371" spans="1:12" x14ac:dyDescent="0.25">
      <c r="A371" t="s">
        <v>69</v>
      </c>
      <c r="B371" t="s">
        <v>70</v>
      </c>
      <c r="C371" t="s">
        <v>71</v>
      </c>
      <c r="D371" t="s">
        <v>72</v>
      </c>
      <c r="E371" t="s">
        <v>73</v>
      </c>
      <c r="F371" t="s">
        <v>74</v>
      </c>
      <c r="G371" t="s">
        <v>75</v>
      </c>
      <c r="H371" t="s">
        <v>76</v>
      </c>
      <c r="I371" t="s">
        <v>77</v>
      </c>
      <c r="J371" t="s">
        <v>78</v>
      </c>
      <c r="K371" t="s">
        <v>79</v>
      </c>
      <c r="L371" t="s">
        <v>325</v>
      </c>
    </row>
    <row r="372" spans="1:12" x14ac:dyDescent="0.25">
      <c r="A372" t="s">
        <v>626</v>
      </c>
      <c r="B372" t="s">
        <v>80</v>
      </c>
      <c r="C372" t="s">
        <v>81</v>
      </c>
      <c r="D372" t="s">
        <v>81</v>
      </c>
      <c r="K372" t="s">
        <v>92</v>
      </c>
      <c r="L372">
        <v>4</v>
      </c>
    </row>
    <row r="373" spans="1:12" x14ac:dyDescent="0.25">
      <c r="A373" t="s">
        <v>627</v>
      </c>
      <c r="B373" t="s">
        <v>80</v>
      </c>
      <c r="D373" t="s">
        <v>81</v>
      </c>
      <c r="K373" t="s">
        <v>265</v>
      </c>
      <c r="L373">
        <v>4</v>
      </c>
    </row>
    <row r="374" spans="1:12" x14ac:dyDescent="0.25">
      <c r="A374" t="s">
        <v>628</v>
      </c>
      <c r="B374" t="s">
        <v>83</v>
      </c>
      <c r="D374" t="s">
        <v>81</v>
      </c>
      <c r="K374" t="s">
        <v>266</v>
      </c>
      <c r="L374">
        <v>3</v>
      </c>
    </row>
    <row r="375" spans="1:12" x14ac:dyDescent="0.25">
      <c r="A375" t="s">
        <v>629</v>
      </c>
      <c r="B375" t="s">
        <v>250</v>
      </c>
      <c r="K375" t="s">
        <v>267</v>
      </c>
      <c r="L375">
        <v>5</v>
      </c>
    </row>
    <row r="376" spans="1:12" x14ac:dyDescent="0.25">
      <c r="A376" t="s">
        <v>630</v>
      </c>
      <c r="B376" t="s">
        <v>80</v>
      </c>
      <c r="D376" t="s">
        <v>81</v>
      </c>
      <c r="K376" t="s">
        <v>268</v>
      </c>
      <c r="L376">
        <v>4</v>
      </c>
    </row>
    <row r="377" spans="1:12" x14ac:dyDescent="0.25">
      <c r="L377">
        <f>SUM(Tableau47[Taille (Bytes)])</f>
        <v>20</v>
      </c>
    </row>
    <row r="378" spans="1:12" x14ac:dyDescent="0.25">
      <c r="A378" t="s">
        <v>631</v>
      </c>
    </row>
    <row r="379" spans="1:12" x14ac:dyDescent="0.25">
      <c r="A379" t="s">
        <v>69</v>
      </c>
      <c r="B379" t="s">
        <v>70</v>
      </c>
      <c r="C379" t="s">
        <v>71</v>
      </c>
      <c r="D379" t="s">
        <v>72</v>
      </c>
      <c r="E379" t="s">
        <v>73</v>
      </c>
      <c r="F379" t="s">
        <v>74</v>
      </c>
      <c r="G379" t="s">
        <v>75</v>
      </c>
      <c r="H379" t="s">
        <v>76</v>
      </c>
      <c r="I379" t="s">
        <v>77</v>
      </c>
      <c r="J379" t="s">
        <v>78</v>
      </c>
      <c r="K379" t="s">
        <v>79</v>
      </c>
      <c r="L379" t="s">
        <v>325</v>
      </c>
    </row>
    <row r="380" spans="1:12" x14ac:dyDescent="0.25">
      <c r="A380" t="s">
        <v>632</v>
      </c>
      <c r="B380" t="s">
        <v>80</v>
      </c>
      <c r="C380" t="s">
        <v>81</v>
      </c>
      <c r="D380" t="s">
        <v>81</v>
      </c>
      <c r="K380" t="s">
        <v>82</v>
      </c>
      <c r="L380">
        <v>4</v>
      </c>
    </row>
    <row r="381" spans="1:12" x14ac:dyDescent="0.25">
      <c r="A381" t="s">
        <v>633</v>
      </c>
      <c r="B381" t="s">
        <v>80</v>
      </c>
      <c r="D381" t="s">
        <v>81</v>
      </c>
      <c r="K381" t="s">
        <v>88</v>
      </c>
      <c r="L381">
        <v>4</v>
      </c>
    </row>
    <row r="382" spans="1:12" x14ac:dyDescent="0.25">
      <c r="A382" t="s">
        <v>634</v>
      </c>
      <c r="B382" t="s">
        <v>83</v>
      </c>
      <c r="D382" t="s">
        <v>81</v>
      </c>
      <c r="K382" t="s">
        <v>269</v>
      </c>
      <c r="L382">
        <v>3</v>
      </c>
    </row>
    <row r="383" spans="1:12" x14ac:dyDescent="0.25">
      <c r="A383" t="s">
        <v>635</v>
      </c>
      <c r="B383" t="s">
        <v>80</v>
      </c>
      <c r="D383" t="s">
        <v>81</v>
      </c>
      <c r="K383" t="s">
        <v>270</v>
      </c>
      <c r="L383">
        <v>4</v>
      </c>
    </row>
    <row r="384" spans="1:12" x14ac:dyDescent="0.25">
      <c r="A384" t="s">
        <v>636</v>
      </c>
      <c r="B384" t="s">
        <v>122</v>
      </c>
      <c r="K384" t="s">
        <v>271</v>
      </c>
      <c r="L384">
        <v>201</v>
      </c>
    </row>
    <row r="385" spans="1:12" x14ac:dyDescent="0.25">
      <c r="A385" t="s">
        <v>637</v>
      </c>
      <c r="B385" t="s">
        <v>80</v>
      </c>
      <c r="K385" t="s">
        <v>272</v>
      </c>
      <c r="L385">
        <v>4</v>
      </c>
    </row>
    <row r="386" spans="1:12" x14ac:dyDescent="0.25">
      <c r="A386" t="s">
        <v>638</v>
      </c>
      <c r="B386" t="s">
        <v>83</v>
      </c>
      <c r="K386" t="s">
        <v>273</v>
      </c>
      <c r="L386">
        <v>3</v>
      </c>
    </row>
    <row r="387" spans="1:12" x14ac:dyDescent="0.25">
      <c r="A387" t="s">
        <v>639</v>
      </c>
      <c r="B387" t="s">
        <v>83</v>
      </c>
      <c r="K387" t="s">
        <v>274</v>
      </c>
      <c r="L387">
        <v>3</v>
      </c>
    </row>
    <row r="388" spans="1:12" x14ac:dyDescent="0.25">
      <c r="A388" t="s">
        <v>569</v>
      </c>
      <c r="B388" t="s">
        <v>80</v>
      </c>
      <c r="K388" t="s">
        <v>275</v>
      </c>
      <c r="L388">
        <v>4</v>
      </c>
    </row>
    <row r="389" spans="1:12" x14ac:dyDescent="0.25">
      <c r="L389">
        <f>SUM(Tableau48[Taille (Bytes)])</f>
        <v>230</v>
      </c>
    </row>
    <row r="390" spans="1:12" x14ac:dyDescent="0.25">
      <c r="A390" t="s">
        <v>640</v>
      </c>
    </row>
    <row r="391" spans="1:12" x14ac:dyDescent="0.25">
      <c r="A391" t="s">
        <v>69</v>
      </c>
      <c r="B391" t="s">
        <v>70</v>
      </c>
      <c r="C391" t="s">
        <v>71</v>
      </c>
      <c r="D391" t="s">
        <v>72</v>
      </c>
      <c r="E391" t="s">
        <v>73</v>
      </c>
      <c r="F391" t="s">
        <v>74</v>
      </c>
      <c r="G391" t="s">
        <v>75</v>
      </c>
      <c r="H391" t="s">
        <v>76</v>
      </c>
      <c r="I391" t="s">
        <v>77</v>
      </c>
      <c r="J391" t="s">
        <v>78</v>
      </c>
      <c r="K391" t="s">
        <v>79</v>
      </c>
      <c r="L391" t="s">
        <v>325</v>
      </c>
    </row>
    <row r="392" spans="1:12" x14ac:dyDescent="0.25">
      <c r="A392" t="s">
        <v>641</v>
      </c>
      <c r="B392" t="s">
        <v>80</v>
      </c>
      <c r="C392" t="s">
        <v>81</v>
      </c>
      <c r="D392" t="s">
        <v>81</v>
      </c>
      <c r="K392" t="s">
        <v>276</v>
      </c>
      <c r="L392">
        <v>4</v>
      </c>
    </row>
    <row r="393" spans="1:12" x14ac:dyDescent="0.25">
      <c r="A393" t="s">
        <v>642</v>
      </c>
      <c r="B393" t="s">
        <v>94</v>
      </c>
      <c r="D393" t="s">
        <v>81</v>
      </c>
      <c r="K393" t="s">
        <v>277</v>
      </c>
      <c r="L393">
        <v>46</v>
      </c>
    </row>
    <row r="394" spans="1:12" x14ac:dyDescent="0.25">
      <c r="A394" t="s">
        <v>643</v>
      </c>
      <c r="B394" t="s">
        <v>80</v>
      </c>
      <c r="D394" t="s">
        <v>81</v>
      </c>
      <c r="K394" t="s">
        <v>278</v>
      </c>
      <c r="L394">
        <v>4</v>
      </c>
    </row>
    <row r="395" spans="1:12" x14ac:dyDescent="0.25">
      <c r="L395">
        <f>SUM(Tableau49[Taille (Bytes)])</f>
        <v>54</v>
      </c>
    </row>
    <row r="396" spans="1:12" x14ac:dyDescent="0.25">
      <c r="A396" s="4" t="s">
        <v>644</v>
      </c>
    </row>
    <row r="397" spans="1:12" x14ac:dyDescent="0.25">
      <c r="A397" t="s">
        <v>69</v>
      </c>
      <c r="B397" t="s">
        <v>70</v>
      </c>
      <c r="C397" t="s">
        <v>71</v>
      </c>
      <c r="D397" t="s">
        <v>72</v>
      </c>
      <c r="E397" t="s">
        <v>73</v>
      </c>
      <c r="F397" t="s">
        <v>74</v>
      </c>
      <c r="G397" t="s">
        <v>75</v>
      </c>
      <c r="H397" t="s">
        <v>76</v>
      </c>
      <c r="I397" t="s">
        <v>77</v>
      </c>
      <c r="J397" t="s">
        <v>78</v>
      </c>
      <c r="K397" t="s">
        <v>79</v>
      </c>
      <c r="L397" t="s">
        <v>325</v>
      </c>
    </row>
    <row r="398" spans="1:12" x14ac:dyDescent="0.25">
      <c r="A398" t="s">
        <v>645</v>
      </c>
      <c r="B398" t="s">
        <v>80</v>
      </c>
      <c r="C398" t="s">
        <v>81</v>
      </c>
      <c r="D398" t="s">
        <v>81</v>
      </c>
      <c r="K398" t="s">
        <v>82</v>
      </c>
      <c r="L398">
        <v>4</v>
      </c>
    </row>
    <row r="399" spans="1:12" x14ac:dyDescent="0.25">
      <c r="A399" t="s">
        <v>646</v>
      </c>
      <c r="B399" t="s">
        <v>94</v>
      </c>
      <c r="D399" t="s">
        <v>81</v>
      </c>
      <c r="K399" t="s">
        <v>279</v>
      </c>
      <c r="L399">
        <v>46</v>
      </c>
    </row>
    <row r="400" spans="1:12" x14ac:dyDescent="0.25">
      <c r="L400">
        <f>SUM(Tableau50[Taille (Bytes)])</f>
        <v>50</v>
      </c>
    </row>
    <row r="401" spans="1:12" x14ac:dyDescent="0.25">
      <c r="A401" t="s">
        <v>647</v>
      </c>
    </row>
    <row r="402" spans="1:12" x14ac:dyDescent="0.25">
      <c r="A402" t="s">
        <v>69</v>
      </c>
      <c r="B402" t="s">
        <v>70</v>
      </c>
      <c r="C402" t="s">
        <v>71</v>
      </c>
      <c r="D402" t="s">
        <v>72</v>
      </c>
      <c r="E402" t="s">
        <v>73</v>
      </c>
      <c r="F402" t="s">
        <v>74</v>
      </c>
      <c r="G402" t="s">
        <v>75</v>
      </c>
      <c r="H402" t="s">
        <v>76</v>
      </c>
      <c r="I402" t="s">
        <v>77</v>
      </c>
      <c r="J402" t="s">
        <v>78</v>
      </c>
      <c r="K402" t="s">
        <v>79</v>
      </c>
      <c r="L402" t="s">
        <v>325</v>
      </c>
    </row>
    <row r="403" spans="1:12" x14ac:dyDescent="0.25">
      <c r="A403" t="s">
        <v>650</v>
      </c>
      <c r="B403" t="s">
        <v>80</v>
      </c>
      <c r="C403" t="s">
        <v>81</v>
      </c>
      <c r="D403" t="s">
        <v>81</v>
      </c>
      <c r="K403" t="s">
        <v>82</v>
      </c>
      <c r="L403">
        <v>4</v>
      </c>
    </row>
    <row r="404" spans="1:12" x14ac:dyDescent="0.25">
      <c r="A404" t="s">
        <v>651</v>
      </c>
      <c r="B404" t="s">
        <v>94</v>
      </c>
      <c r="D404" t="s">
        <v>81</v>
      </c>
      <c r="K404" t="s">
        <v>280</v>
      </c>
      <c r="L404">
        <v>46</v>
      </c>
    </row>
    <row r="405" spans="1:12" x14ac:dyDescent="0.25">
      <c r="A405" t="s">
        <v>443</v>
      </c>
      <c r="B405" t="s">
        <v>80</v>
      </c>
      <c r="C405" t="s">
        <v>81</v>
      </c>
      <c r="D405" t="s">
        <v>81</v>
      </c>
      <c r="K405" t="s">
        <v>176</v>
      </c>
      <c r="L405">
        <v>4</v>
      </c>
    </row>
    <row r="406" spans="1:12" x14ac:dyDescent="0.25">
      <c r="L406">
        <f>SUM(Tableau51[Taille (Bytes)])</f>
        <v>54</v>
      </c>
    </row>
    <row r="407" spans="1:12" x14ac:dyDescent="0.25">
      <c r="A407" s="5" t="s">
        <v>652</v>
      </c>
    </row>
    <row r="408" spans="1:12" x14ac:dyDescent="0.25">
      <c r="A408" t="s">
        <v>69</v>
      </c>
      <c r="B408" t="s">
        <v>70</v>
      </c>
      <c r="C408" t="s">
        <v>71</v>
      </c>
      <c r="D408" t="s">
        <v>72</v>
      </c>
      <c r="E408" t="s">
        <v>73</v>
      </c>
      <c r="F408" t="s">
        <v>74</v>
      </c>
      <c r="G408" t="s">
        <v>75</v>
      </c>
      <c r="H408" t="s">
        <v>76</v>
      </c>
      <c r="I408" t="s">
        <v>77</v>
      </c>
      <c r="J408" t="s">
        <v>78</v>
      </c>
      <c r="K408" t="s">
        <v>79</v>
      </c>
      <c r="L408" t="s">
        <v>325</v>
      </c>
    </row>
    <row r="409" spans="1:12" x14ac:dyDescent="0.25">
      <c r="A409" t="s">
        <v>648</v>
      </c>
      <c r="B409" t="s">
        <v>80</v>
      </c>
      <c r="D409" t="s">
        <v>81</v>
      </c>
      <c r="L409">
        <v>4</v>
      </c>
    </row>
    <row r="410" spans="1:12" x14ac:dyDescent="0.25">
      <c r="A410" t="s">
        <v>649</v>
      </c>
      <c r="B410" t="s">
        <v>80</v>
      </c>
      <c r="D410" t="s">
        <v>81</v>
      </c>
      <c r="L410">
        <v>4</v>
      </c>
    </row>
    <row r="411" spans="1:12" x14ac:dyDescent="0.25">
      <c r="L411">
        <f>SUM(Tableau52[Taille (Bytes)])</f>
        <v>8</v>
      </c>
    </row>
    <row r="412" spans="1:12" x14ac:dyDescent="0.25">
      <c r="A412" t="s">
        <v>653</v>
      </c>
    </row>
    <row r="413" spans="1:12" x14ac:dyDescent="0.25">
      <c r="A413" t="s">
        <v>69</v>
      </c>
      <c r="B413" t="s">
        <v>70</v>
      </c>
      <c r="C413" t="s">
        <v>71</v>
      </c>
      <c r="D413" t="s">
        <v>72</v>
      </c>
      <c r="E413" t="s">
        <v>73</v>
      </c>
      <c r="F413" t="s">
        <v>74</v>
      </c>
      <c r="G413" t="s">
        <v>75</v>
      </c>
      <c r="H413" t="s">
        <v>76</v>
      </c>
      <c r="I413" t="s">
        <v>77</v>
      </c>
      <c r="J413" t="s">
        <v>78</v>
      </c>
      <c r="K413" t="s">
        <v>79</v>
      </c>
      <c r="L413" t="s">
        <v>325</v>
      </c>
    </row>
    <row r="414" spans="1:12" x14ac:dyDescent="0.25">
      <c r="A414" t="s">
        <v>654</v>
      </c>
      <c r="B414" t="s">
        <v>80</v>
      </c>
      <c r="C414" t="s">
        <v>81</v>
      </c>
      <c r="D414" t="s">
        <v>81</v>
      </c>
      <c r="K414" t="s">
        <v>281</v>
      </c>
      <c r="L414">
        <v>4</v>
      </c>
    </row>
    <row r="415" spans="1:12" x14ac:dyDescent="0.25">
      <c r="A415" t="s">
        <v>655</v>
      </c>
      <c r="B415" t="s">
        <v>80</v>
      </c>
      <c r="D415" t="s">
        <v>81</v>
      </c>
      <c r="K415" t="s">
        <v>282</v>
      </c>
      <c r="L415">
        <v>4</v>
      </c>
    </row>
    <row r="416" spans="1:12" x14ac:dyDescent="0.25">
      <c r="A416" t="s">
        <v>656</v>
      </c>
      <c r="B416" t="s">
        <v>80</v>
      </c>
      <c r="D416" t="s">
        <v>81</v>
      </c>
      <c r="K416" t="s">
        <v>283</v>
      </c>
      <c r="L416">
        <v>4</v>
      </c>
    </row>
    <row r="417" spans="1:12" x14ac:dyDescent="0.25">
      <c r="A417" t="s">
        <v>657</v>
      </c>
      <c r="B417" t="s">
        <v>80</v>
      </c>
      <c r="D417" t="s">
        <v>81</v>
      </c>
      <c r="K417" t="s">
        <v>284</v>
      </c>
      <c r="L417">
        <v>4</v>
      </c>
    </row>
    <row r="418" spans="1:12" x14ac:dyDescent="0.25">
      <c r="A418" t="s">
        <v>658</v>
      </c>
      <c r="B418" t="s">
        <v>80</v>
      </c>
      <c r="D418" t="s">
        <v>81</v>
      </c>
      <c r="K418" t="s">
        <v>285</v>
      </c>
      <c r="L418">
        <v>4</v>
      </c>
    </row>
    <row r="419" spans="1:12" x14ac:dyDescent="0.25">
      <c r="A419" t="s">
        <v>659</v>
      </c>
      <c r="B419" t="s">
        <v>80</v>
      </c>
      <c r="D419" t="s">
        <v>81</v>
      </c>
      <c r="K419" t="s">
        <v>286</v>
      </c>
      <c r="L419">
        <v>4</v>
      </c>
    </row>
    <row r="420" spans="1:12" x14ac:dyDescent="0.25">
      <c r="A420" t="s">
        <v>660</v>
      </c>
      <c r="B420" t="s">
        <v>80</v>
      </c>
      <c r="D420" t="s">
        <v>81</v>
      </c>
      <c r="K420" t="s">
        <v>88</v>
      </c>
      <c r="L420">
        <v>4</v>
      </c>
    </row>
    <row r="421" spans="1:12" x14ac:dyDescent="0.25">
      <c r="L421">
        <f>SUM(Tableau53[Taille (Bytes)])</f>
        <v>28</v>
      </c>
    </row>
    <row r="422" spans="1:12" x14ac:dyDescent="0.25">
      <c r="A422" s="4" t="s">
        <v>661</v>
      </c>
    </row>
    <row r="423" spans="1:12" x14ac:dyDescent="0.25">
      <c r="A423" t="s">
        <v>69</v>
      </c>
      <c r="B423" t="s">
        <v>70</v>
      </c>
      <c r="C423" t="s">
        <v>71</v>
      </c>
      <c r="D423" t="s">
        <v>72</v>
      </c>
      <c r="E423" t="s">
        <v>73</v>
      </c>
      <c r="F423" t="s">
        <v>74</v>
      </c>
      <c r="G423" t="s">
        <v>75</v>
      </c>
      <c r="H423" t="s">
        <v>76</v>
      </c>
      <c r="I423" t="s">
        <v>77</v>
      </c>
      <c r="J423" t="s">
        <v>78</v>
      </c>
      <c r="K423" t="s">
        <v>79</v>
      </c>
      <c r="L423" t="s">
        <v>325</v>
      </c>
    </row>
    <row r="424" spans="1:12" x14ac:dyDescent="0.25">
      <c r="A424" t="s">
        <v>662</v>
      </c>
      <c r="B424" t="s">
        <v>80</v>
      </c>
      <c r="C424" t="s">
        <v>81</v>
      </c>
      <c r="D424" t="s">
        <v>81</v>
      </c>
      <c r="K424" t="s">
        <v>82</v>
      </c>
      <c r="L424">
        <v>4</v>
      </c>
    </row>
    <row r="425" spans="1:12" x14ac:dyDescent="0.25">
      <c r="A425" t="s">
        <v>663</v>
      </c>
      <c r="B425" t="s">
        <v>109</v>
      </c>
      <c r="D425" t="s">
        <v>81</v>
      </c>
      <c r="K425" t="s">
        <v>287</v>
      </c>
      <c r="L425">
        <v>4</v>
      </c>
    </row>
    <row r="426" spans="1:12" x14ac:dyDescent="0.25">
      <c r="A426" t="s">
        <v>664</v>
      </c>
      <c r="B426" t="s">
        <v>80</v>
      </c>
      <c r="D426" t="s">
        <v>81</v>
      </c>
      <c r="K426" t="s">
        <v>88</v>
      </c>
      <c r="L426">
        <v>4</v>
      </c>
    </row>
    <row r="427" spans="1:12" x14ac:dyDescent="0.25">
      <c r="L427">
        <f>SUM(Tableau54[Taille (Bytes)])</f>
        <v>12</v>
      </c>
    </row>
    <row r="428" spans="1:12" x14ac:dyDescent="0.25">
      <c r="A428" s="4" t="s">
        <v>665</v>
      </c>
    </row>
    <row r="429" spans="1:12" x14ac:dyDescent="0.25">
      <c r="A429" t="s">
        <v>69</v>
      </c>
      <c r="B429" t="s">
        <v>70</v>
      </c>
      <c r="C429" t="s">
        <v>71</v>
      </c>
      <c r="D429" t="s">
        <v>72</v>
      </c>
      <c r="E429" t="s">
        <v>73</v>
      </c>
      <c r="F429" t="s">
        <v>74</v>
      </c>
      <c r="G429" t="s">
        <v>75</v>
      </c>
      <c r="H429" t="s">
        <v>76</v>
      </c>
      <c r="I429" t="s">
        <v>77</v>
      </c>
      <c r="J429" t="s">
        <v>78</v>
      </c>
      <c r="K429" t="s">
        <v>79</v>
      </c>
      <c r="L429" t="s">
        <v>325</v>
      </c>
    </row>
    <row r="430" spans="1:12" x14ac:dyDescent="0.25">
      <c r="A430" t="s">
        <v>666</v>
      </c>
      <c r="B430" t="s">
        <v>80</v>
      </c>
      <c r="C430" t="s">
        <v>81</v>
      </c>
      <c r="D430" t="s">
        <v>81</v>
      </c>
      <c r="K430" t="s">
        <v>92</v>
      </c>
      <c r="L430">
        <v>4</v>
      </c>
    </row>
    <row r="431" spans="1:12" x14ac:dyDescent="0.25">
      <c r="A431" t="s">
        <v>667</v>
      </c>
      <c r="B431" t="s">
        <v>80</v>
      </c>
      <c r="D431" t="s">
        <v>81</v>
      </c>
      <c r="K431" t="s">
        <v>288</v>
      </c>
      <c r="L431">
        <v>4</v>
      </c>
    </row>
    <row r="432" spans="1:12" x14ac:dyDescent="0.25">
      <c r="A432" t="s">
        <v>668</v>
      </c>
      <c r="B432" t="s">
        <v>80</v>
      </c>
      <c r="D432" t="s">
        <v>81</v>
      </c>
      <c r="K432" t="s">
        <v>289</v>
      </c>
      <c r="L432">
        <v>4</v>
      </c>
    </row>
    <row r="433" spans="1:12" x14ac:dyDescent="0.25">
      <c r="A433" t="s">
        <v>669</v>
      </c>
      <c r="B433" t="s">
        <v>80</v>
      </c>
      <c r="D433" t="s">
        <v>81</v>
      </c>
      <c r="K433" t="s">
        <v>290</v>
      </c>
      <c r="L433">
        <v>4</v>
      </c>
    </row>
    <row r="434" spans="1:12" x14ac:dyDescent="0.25">
      <c r="A434" t="s">
        <v>670</v>
      </c>
      <c r="B434" t="s">
        <v>109</v>
      </c>
      <c r="D434" t="s">
        <v>81</v>
      </c>
      <c r="K434" t="s">
        <v>291</v>
      </c>
      <c r="L434">
        <v>4</v>
      </c>
    </row>
    <row r="435" spans="1:12" x14ac:dyDescent="0.25">
      <c r="A435" t="s">
        <v>671</v>
      </c>
      <c r="B435" t="s">
        <v>109</v>
      </c>
      <c r="D435" t="s">
        <v>81</v>
      </c>
      <c r="K435" t="s">
        <v>292</v>
      </c>
      <c r="L435">
        <v>4</v>
      </c>
    </row>
    <row r="436" spans="1:12" x14ac:dyDescent="0.25">
      <c r="A436" t="s">
        <v>672</v>
      </c>
      <c r="B436" t="s">
        <v>80</v>
      </c>
      <c r="D436" t="s">
        <v>81</v>
      </c>
      <c r="K436" t="s">
        <v>293</v>
      </c>
      <c r="L436">
        <v>4</v>
      </c>
    </row>
    <row r="437" spans="1:12" x14ac:dyDescent="0.25">
      <c r="A437" t="s">
        <v>673</v>
      </c>
      <c r="B437" t="s">
        <v>94</v>
      </c>
      <c r="K437" t="s">
        <v>294</v>
      </c>
      <c r="L437">
        <v>46</v>
      </c>
    </row>
    <row r="438" spans="1:12" x14ac:dyDescent="0.25">
      <c r="A438" t="s">
        <v>674</v>
      </c>
      <c r="B438" t="s">
        <v>109</v>
      </c>
      <c r="K438" t="s">
        <v>295</v>
      </c>
      <c r="L438">
        <v>4</v>
      </c>
    </row>
    <row r="439" spans="1:12" x14ac:dyDescent="0.25">
      <c r="A439" t="s">
        <v>675</v>
      </c>
      <c r="B439" t="s">
        <v>94</v>
      </c>
      <c r="D439" t="s">
        <v>81</v>
      </c>
      <c r="K439" t="s">
        <v>296</v>
      </c>
      <c r="L439">
        <v>46</v>
      </c>
    </row>
    <row r="440" spans="1:12" x14ac:dyDescent="0.25">
      <c r="A440" t="s">
        <v>676</v>
      </c>
      <c r="B440" t="s">
        <v>109</v>
      </c>
      <c r="K440" t="s">
        <v>297</v>
      </c>
      <c r="L440">
        <v>4</v>
      </c>
    </row>
    <row r="441" spans="1:12" x14ac:dyDescent="0.25">
      <c r="A441" t="s">
        <v>677</v>
      </c>
      <c r="B441" t="s">
        <v>80</v>
      </c>
      <c r="D441" t="s">
        <v>81</v>
      </c>
      <c r="K441" t="s">
        <v>298</v>
      </c>
      <c r="L441">
        <v>4</v>
      </c>
    </row>
    <row r="442" spans="1:12" x14ac:dyDescent="0.25">
      <c r="A442" t="s">
        <v>678</v>
      </c>
      <c r="B442" t="s">
        <v>109</v>
      </c>
      <c r="K442" t="s">
        <v>299</v>
      </c>
      <c r="L442">
        <v>4</v>
      </c>
    </row>
    <row r="443" spans="1:12" x14ac:dyDescent="0.25">
      <c r="A443" t="s">
        <v>679</v>
      </c>
      <c r="B443" t="s">
        <v>109</v>
      </c>
      <c r="K443" t="s">
        <v>300</v>
      </c>
      <c r="L443">
        <v>4</v>
      </c>
    </row>
    <row r="444" spans="1:12" x14ac:dyDescent="0.25">
      <c r="A444" t="s">
        <v>443</v>
      </c>
      <c r="B444" t="s">
        <v>80</v>
      </c>
      <c r="C444" t="s">
        <v>81</v>
      </c>
      <c r="D444" t="s">
        <v>81</v>
      </c>
      <c r="K444" t="s">
        <v>176</v>
      </c>
      <c r="L444">
        <v>4</v>
      </c>
    </row>
    <row r="445" spans="1:12" x14ac:dyDescent="0.25">
      <c r="L445">
        <f>SUM(Tableau55[Taille (Bytes)])</f>
        <v>144</v>
      </c>
    </row>
    <row r="446" spans="1:12" x14ac:dyDescent="0.25">
      <c r="A446" t="s">
        <v>680</v>
      </c>
    </row>
    <row r="447" spans="1:12" x14ac:dyDescent="0.25">
      <c r="A447" t="s">
        <v>69</v>
      </c>
      <c r="B447" t="s">
        <v>70</v>
      </c>
      <c r="C447" t="s">
        <v>71</v>
      </c>
      <c r="D447" t="s">
        <v>72</v>
      </c>
      <c r="E447" t="s">
        <v>73</v>
      </c>
      <c r="F447" t="s">
        <v>74</v>
      </c>
      <c r="G447" t="s">
        <v>75</v>
      </c>
      <c r="H447" t="s">
        <v>76</v>
      </c>
      <c r="I447" t="s">
        <v>77</v>
      </c>
      <c r="J447" t="s">
        <v>78</v>
      </c>
      <c r="K447" t="s">
        <v>79</v>
      </c>
      <c r="L447" t="s">
        <v>325</v>
      </c>
    </row>
    <row r="448" spans="1:12" x14ac:dyDescent="0.25">
      <c r="A448" t="s">
        <v>681</v>
      </c>
      <c r="B448" t="s">
        <v>80</v>
      </c>
      <c r="C448" t="s">
        <v>81</v>
      </c>
      <c r="D448" t="s">
        <v>81</v>
      </c>
      <c r="K448" t="s">
        <v>82</v>
      </c>
      <c r="L448">
        <v>4</v>
      </c>
    </row>
    <row r="449" spans="1:12" x14ac:dyDescent="0.25">
      <c r="A449" t="s">
        <v>682</v>
      </c>
      <c r="B449" t="s">
        <v>94</v>
      </c>
      <c r="K449" t="s">
        <v>301</v>
      </c>
      <c r="L449">
        <v>46</v>
      </c>
    </row>
    <row r="450" spans="1:12" x14ac:dyDescent="0.25">
      <c r="A450" t="s">
        <v>683</v>
      </c>
      <c r="B450" t="s">
        <v>83</v>
      </c>
      <c r="K450" t="s">
        <v>302</v>
      </c>
      <c r="L450">
        <v>3</v>
      </c>
    </row>
    <row r="451" spans="1:12" x14ac:dyDescent="0.25">
      <c r="A451" t="s">
        <v>684</v>
      </c>
      <c r="B451" t="s">
        <v>83</v>
      </c>
      <c r="K451" t="s">
        <v>303</v>
      </c>
      <c r="L451">
        <v>3</v>
      </c>
    </row>
    <row r="452" spans="1:12" x14ac:dyDescent="0.25">
      <c r="A452" t="s">
        <v>685</v>
      </c>
      <c r="B452" t="s">
        <v>228</v>
      </c>
      <c r="K452" t="s">
        <v>304</v>
      </c>
      <c r="L452">
        <v>301</v>
      </c>
    </row>
    <row r="453" spans="1:12" x14ac:dyDescent="0.25">
      <c r="A453" t="s">
        <v>686</v>
      </c>
      <c r="B453" t="s">
        <v>80</v>
      </c>
      <c r="D453" t="s">
        <v>81</v>
      </c>
      <c r="K453" t="s">
        <v>305</v>
      </c>
      <c r="L453">
        <v>4</v>
      </c>
    </row>
    <row r="454" spans="1:12" x14ac:dyDescent="0.25">
      <c r="L454">
        <f>SUM(Tableau56[Taille (Bytes)])</f>
        <v>361</v>
      </c>
    </row>
    <row r="455" spans="1:12" x14ac:dyDescent="0.25">
      <c r="A455" t="s">
        <v>687</v>
      </c>
    </row>
    <row r="456" spans="1:12" x14ac:dyDescent="0.25">
      <c r="A456" t="s">
        <v>69</v>
      </c>
      <c r="B456" t="s">
        <v>70</v>
      </c>
      <c r="C456" t="s">
        <v>71</v>
      </c>
      <c r="D456" t="s">
        <v>72</v>
      </c>
      <c r="E456" t="s">
        <v>73</v>
      </c>
      <c r="F456" t="s">
        <v>74</v>
      </c>
      <c r="G456" t="s">
        <v>75</v>
      </c>
      <c r="H456" t="s">
        <v>76</v>
      </c>
      <c r="I456" t="s">
        <v>77</v>
      </c>
      <c r="J456" t="s">
        <v>78</v>
      </c>
      <c r="K456" t="s">
        <v>79</v>
      </c>
      <c r="L456" t="s">
        <v>325</v>
      </c>
    </row>
    <row r="457" spans="1:12" x14ac:dyDescent="0.25">
      <c r="A457" t="s">
        <v>688</v>
      </c>
      <c r="B457" t="s">
        <v>80</v>
      </c>
      <c r="C457" t="s">
        <v>81</v>
      </c>
      <c r="D457" t="s">
        <v>81</v>
      </c>
      <c r="K457" t="s">
        <v>82</v>
      </c>
      <c r="L457">
        <v>4</v>
      </c>
    </row>
    <row r="458" spans="1:12" x14ac:dyDescent="0.25">
      <c r="A458" t="s">
        <v>689</v>
      </c>
      <c r="B458" t="s">
        <v>94</v>
      </c>
      <c r="D458" t="s">
        <v>81</v>
      </c>
      <c r="K458" t="s">
        <v>306</v>
      </c>
      <c r="L458">
        <v>46</v>
      </c>
    </row>
    <row r="459" spans="1:12" x14ac:dyDescent="0.25">
      <c r="L459">
        <f>SUM(Tableau57[Taille (Bytes)])</f>
        <v>50</v>
      </c>
    </row>
    <row r="460" spans="1:12" x14ac:dyDescent="0.25">
      <c r="A460" s="4" t="s">
        <v>690</v>
      </c>
    </row>
    <row r="461" spans="1:12" x14ac:dyDescent="0.25">
      <c r="A461" t="s">
        <v>69</v>
      </c>
      <c r="B461" t="s">
        <v>70</v>
      </c>
      <c r="C461" t="s">
        <v>71</v>
      </c>
      <c r="D461" t="s">
        <v>72</v>
      </c>
      <c r="E461" t="s">
        <v>73</v>
      </c>
      <c r="F461" t="s">
        <v>74</v>
      </c>
      <c r="G461" t="s">
        <v>75</v>
      </c>
      <c r="H461" t="s">
        <v>76</v>
      </c>
      <c r="I461" t="s">
        <v>77</v>
      </c>
      <c r="J461" t="s">
        <v>78</v>
      </c>
      <c r="K461" t="s">
        <v>79</v>
      </c>
      <c r="L461" t="s">
        <v>325</v>
      </c>
    </row>
    <row r="462" spans="1:12" x14ac:dyDescent="0.25">
      <c r="A462" t="s">
        <v>691</v>
      </c>
      <c r="B462" t="s">
        <v>80</v>
      </c>
      <c r="C462" t="s">
        <v>81</v>
      </c>
      <c r="D462" t="s">
        <v>81</v>
      </c>
      <c r="K462" t="s">
        <v>82</v>
      </c>
      <c r="L462">
        <v>4</v>
      </c>
    </row>
    <row r="463" spans="1:12" x14ac:dyDescent="0.25">
      <c r="A463" t="s">
        <v>692</v>
      </c>
      <c r="B463" t="s">
        <v>94</v>
      </c>
      <c r="K463" t="s">
        <v>307</v>
      </c>
      <c r="L463">
        <v>46</v>
      </c>
    </row>
    <row r="464" spans="1:12" x14ac:dyDescent="0.25">
      <c r="L464">
        <f>SUM(Tableau58[Taille (Bytes)])</f>
        <v>50</v>
      </c>
    </row>
    <row r="465" spans="1:12" x14ac:dyDescent="0.25">
      <c r="A465" t="s">
        <v>693</v>
      </c>
    </row>
    <row r="466" spans="1:12" x14ac:dyDescent="0.25">
      <c r="A466" t="s">
        <v>69</v>
      </c>
      <c r="B466" t="s">
        <v>70</v>
      </c>
      <c r="C466" t="s">
        <v>71</v>
      </c>
      <c r="D466" t="s">
        <v>72</v>
      </c>
      <c r="E466" t="s">
        <v>73</v>
      </c>
      <c r="F466" t="s">
        <v>74</v>
      </c>
      <c r="G466" t="s">
        <v>75</v>
      </c>
      <c r="H466" t="s">
        <v>76</v>
      </c>
      <c r="I466" t="s">
        <v>77</v>
      </c>
      <c r="J466" t="s">
        <v>78</v>
      </c>
      <c r="K466" t="s">
        <v>79</v>
      </c>
      <c r="L466" t="s">
        <v>325</v>
      </c>
    </row>
    <row r="467" spans="1:12" x14ac:dyDescent="0.25">
      <c r="A467" t="s">
        <v>694</v>
      </c>
      <c r="B467" t="s">
        <v>80</v>
      </c>
      <c r="C467" t="s">
        <v>81</v>
      </c>
      <c r="K467" t="s">
        <v>82</v>
      </c>
      <c r="L467">
        <v>4</v>
      </c>
    </row>
    <row r="468" spans="1:12" x14ac:dyDescent="0.25">
      <c r="A468" t="s">
        <v>695</v>
      </c>
      <c r="B468" t="s">
        <v>94</v>
      </c>
      <c r="D468" t="s">
        <v>81</v>
      </c>
      <c r="K468" t="s">
        <v>308</v>
      </c>
      <c r="L468">
        <v>46</v>
      </c>
    </row>
    <row r="469" spans="1:12" x14ac:dyDescent="0.25">
      <c r="L469">
        <f>SUM(Tableau59[Taille (Bytes)])</f>
        <v>50</v>
      </c>
    </row>
    <row r="470" spans="1:12" x14ac:dyDescent="0.25">
      <c r="A470" s="4" t="s">
        <v>696</v>
      </c>
    </row>
    <row r="471" spans="1:12" x14ac:dyDescent="0.25">
      <c r="A471" t="s">
        <v>69</v>
      </c>
      <c r="B471" t="s">
        <v>70</v>
      </c>
      <c r="C471" t="s">
        <v>71</v>
      </c>
      <c r="D471" t="s">
        <v>72</v>
      </c>
      <c r="E471" t="s">
        <v>73</v>
      </c>
      <c r="F471" t="s">
        <v>74</v>
      </c>
      <c r="G471" t="s">
        <v>75</v>
      </c>
      <c r="H471" t="s">
        <v>76</v>
      </c>
      <c r="I471" t="s">
        <v>77</v>
      </c>
      <c r="J471" t="s">
        <v>78</v>
      </c>
      <c r="K471" t="s">
        <v>79</v>
      </c>
      <c r="L471" t="s">
        <v>325</v>
      </c>
    </row>
    <row r="472" spans="1:12" x14ac:dyDescent="0.25">
      <c r="A472" t="s">
        <v>697</v>
      </c>
      <c r="B472" t="s">
        <v>80</v>
      </c>
      <c r="C472" t="s">
        <v>81</v>
      </c>
      <c r="D472" t="s">
        <v>81</v>
      </c>
      <c r="K472" t="s">
        <v>309</v>
      </c>
      <c r="L472">
        <v>4</v>
      </c>
    </row>
    <row r="473" spans="1:12" x14ac:dyDescent="0.25">
      <c r="A473" t="s">
        <v>698</v>
      </c>
      <c r="B473" t="s">
        <v>94</v>
      </c>
      <c r="K473" t="s">
        <v>310</v>
      </c>
      <c r="L473">
        <v>46</v>
      </c>
    </row>
    <row r="474" spans="1:12" x14ac:dyDescent="0.25">
      <c r="L474">
        <f>SUM(Tableau60[Taille (Bytes)])</f>
        <v>50</v>
      </c>
    </row>
    <row r="475" spans="1:12" x14ac:dyDescent="0.25">
      <c r="A475" t="s">
        <v>699</v>
      </c>
    </row>
    <row r="476" spans="1:12" x14ac:dyDescent="0.25">
      <c r="A476" t="s">
        <v>69</v>
      </c>
      <c r="B476" t="s">
        <v>70</v>
      </c>
      <c r="C476" t="s">
        <v>71</v>
      </c>
      <c r="D476" t="s">
        <v>72</v>
      </c>
      <c r="E476" t="s">
        <v>73</v>
      </c>
      <c r="F476" t="s">
        <v>74</v>
      </c>
      <c r="G476" t="s">
        <v>75</v>
      </c>
      <c r="H476" t="s">
        <v>76</v>
      </c>
      <c r="I476" t="s">
        <v>77</v>
      </c>
      <c r="J476" t="s">
        <v>78</v>
      </c>
      <c r="K476" t="s">
        <v>79</v>
      </c>
      <c r="L476" t="s">
        <v>325</v>
      </c>
    </row>
    <row r="477" spans="1:12" x14ac:dyDescent="0.25">
      <c r="A477" t="s">
        <v>700</v>
      </c>
      <c r="B477" t="s">
        <v>80</v>
      </c>
      <c r="C477" t="s">
        <v>81</v>
      </c>
      <c r="D477" t="s">
        <v>81</v>
      </c>
      <c r="K477" t="s">
        <v>82</v>
      </c>
      <c r="L477">
        <v>4</v>
      </c>
    </row>
    <row r="478" spans="1:12" x14ac:dyDescent="0.25">
      <c r="A478" t="s">
        <v>701</v>
      </c>
      <c r="B478" t="s">
        <v>94</v>
      </c>
      <c r="D478" t="s">
        <v>81</v>
      </c>
      <c r="K478" t="s">
        <v>311</v>
      </c>
      <c r="L478">
        <v>46</v>
      </c>
    </row>
    <row r="479" spans="1:12" x14ac:dyDescent="0.25">
      <c r="L479">
        <f>SUM(Tableau61[Taille (Bytes)])</f>
        <v>50</v>
      </c>
    </row>
    <row r="480" spans="1:12" x14ac:dyDescent="0.25">
      <c r="A480" s="4" t="s">
        <v>702</v>
      </c>
    </row>
    <row r="481" spans="1:12" x14ac:dyDescent="0.25">
      <c r="A481" t="s">
        <v>69</v>
      </c>
      <c r="B481" t="s">
        <v>70</v>
      </c>
      <c r="C481" t="s">
        <v>71</v>
      </c>
      <c r="D481" t="s">
        <v>72</v>
      </c>
      <c r="E481" t="s">
        <v>73</v>
      </c>
      <c r="F481" t="s">
        <v>74</v>
      </c>
      <c r="G481" t="s">
        <v>75</v>
      </c>
      <c r="H481" t="s">
        <v>76</v>
      </c>
      <c r="I481" t="s">
        <v>77</v>
      </c>
      <c r="J481" t="s">
        <v>78</v>
      </c>
      <c r="K481" t="s">
        <v>79</v>
      </c>
      <c r="L481" t="s">
        <v>325</v>
      </c>
    </row>
    <row r="482" spans="1:12" x14ac:dyDescent="0.25">
      <c r="A482" t="s">
        <v>703</v>
      </c>
      <c r="B482" t="s">
        <v>80</v>
      </c>
      <c r="C482" t="s">
        <v>81</v>
      </c>
      <c r="D482" t="s">
        <v>81</v>
      </c>
      <c r="K482" t="s">
        <v>82</v>
      </c>
      <c r="L482">
        <v>4</v>
      </c>
    </row>
    <row r="483" spans="1:12" x14ac:dyDescent="0.25">
      <c r="A483" t="s">
        <v>704</v>
      </c>
      <c r="B483" t="s">
        <v>94</v>
      </c>
      <c r="D483" t="s">
        <v>81</v>
      </c>
      <c r="K483" t="s">
        <v>312</v>
      </c>
      <c r="L483">
        <v>46</v>
      </c>
    </row>
    <row r="484" spans="1:12" x14ac:dyDescent="0.25">
      <c r="L484">
        <f>SUM(Tableau62[Taille (Bytes)])</f>
        <v>50</v>
      </c>
    </row>
    <row r="485" spans="1:12" x14ac:dyDescent="0.25">
      <c r="A485" t="s">
        <v>705</v>
      </c>
    </row>
    <row r="486" spans="1:12" x14ac:dyDescent="0.25">
      <c r="A486" t="s">
        <v>69</v>
      </c>
      <c r="B486" t="s">
        <v>70</v>
      </c>
      <c r="C486" t="s">
        <v>71</v>
      </c>
      <c r="D486" t="s">
        <v>72</v>
      </c>
      <c r="E486" t="s">
        <v>73</v>
      </c>
      <c r="F486" t="s">
        <v>74</v>
      </c>
      <c r="G486" t="s">
        <v>75</v>
      </c>
      <c r="H486" t="s">
        <v>76</v>
      </c>
      <c r="I486" t="s">
        <v>77</v>
      </c>
      <c r="J486" t="s">
        <v>78</v>
      </c>
      <c r="K486" t="s">
        <v>79</v>
      </c>
      <c r="L486" t="s">
        <v>325</v>
      </c>
    </row>
    <row r="487" spans="1:12" ht="14.25" customHeight="1" x14ac:dyDescent="0.25">
      <c r="A487" t="s">
        <v>706</v>
      </c>
      <c r="B487" t="s">
        <v>80</v>
      </c>
      <c r="C487" t="s">
        <v>81</v>
      </c>
      <c r="D487" t="s">
        <v>81</v>
      </c>
      <c r="K487" t="s">
        <v>82</v>
      </c>
      <c r="L487">
        <v>4</v>
      </c>
    </row>
    <row r="488" spans="1:12" ht="14.25" customHeight="1" x14ac:dyDescent="0.25">
      <c r="A488" t="s">
        <v>707</v>
      </c>
      <c r="B488" t="s">
        <v>94</v>
      </c>
      <c r="K488" t="s">
        <v>313</v>
      </c>
      <c r="L488">
        <v>46</v>
      </c>
    </row>
    <row r="489" spans="1:12" x14ac:dyDescent="0.25">
      <c r="L489">
        <f>SUM(Tableau63[Taille (Bytes)])</f>
        <v>50</v>
      </c>
    </row>
    <row r="490" spans="1:12" x14ac:dyDescent="0.25">
      <c r="A490" s="4" t="s">
        <v>708</v>
      </c>
    </row>
    <row r="491" spans="1:12" x14ac:dyDescent="0.25">
      <c r="A491" t="s">
        <v>69</v>
      </c>
      <c r="B491" t="s">
        <v>70</v>
      </c>
      <c r="C491" t="s">
        <v>71</v>
      </c>
      <c r="D491" t="s">
        <v>72</v>
      </c>
      <c r="E491" t="s">
        <v>73</v>
      </c>
      <c r="F491" t="s">
        <v>74</v>
      </c>
      <c r="G491" t="s">
        <v>75</v>
      </c>
      <c r="H491" t="s">
        <v>76</v>
      </c>
      <c r="I491" t="s">
        <v>77</v>
      </c>
      <c r="J491" t="s">
        <v>78</v>
      </c>
      <c r="K491" t="s">
        <v>79</v>
      </c>
      <c r="L491" t="s">
        <v>325</v>
      </c>
    </row>
    <row r="492" spans="1:12" x14ac:dyDescent="0.25">
      <c r="A492" t="s">
        <v>709</v>
      </c>
      <c r="B492" t="s">
        <v>80</v>
      </c>
      <c r="C492" t="s">
        <v>81</v>
      </c>
      <c r="D492" t="s">
        <v>81</v>
      </c>
      <c r="K492" t="s">
        <v>82</v>
      </c>
      <c r="L492">
        <v>4</v>
      </c>
    </row>
    <row r="493" spans="1:12" x14ac:dyDescent="0.25">
      <c r="A493" t="s">
        <v>710</v>
      </c>
      <c r="B493" t="s">
        <v>94</v>
      </c>
      <c r="D493" t="s">
        <v>81</v>
      </c>
      <c r="K493" t="s">
        <v>314</v>
      </c>
      <c r="L493">
        <v>46</v>
      </c>
    </row>
    <row r="494" spans="1:12" x14ac:dyDescent="0.25">
      <c r="L494">
        <f>SUM(Tableau64[Taille (Bytes)])</f>
        <v>50</v>
      </c>
    </row>
    <row r="495" spans="1:12" x14ac:dyDescent="0.25">
      <c r="A495" t="s">
        <v>711</v>
      </c>
    </row>
    <row r="496" spans="1:12" x14ac:dyDescent="0.25">
      <c r="A496" t="s">
        <v>69</v>
      </c>
      <c r="B496" t="s">
        <v>70</v>
      </c>
      <c r="C496" t="s">
        <v>71</v>
      </c>
      <c r="D496" t="s">
        <v>72</v>
      </c>
      <c r="E496" t="s">
        <v>73</v>
      </c>
      <c r="F496" t="s">
        <v>74</v>
      </c>
      <c r="G496" t="s">
        <v>75</v>
      </c>
      <c r="H496" t="s">
        <v>76</v>
      </c>
      <c r="I496" t="s">
        <v>77</v>
      </c>
      <c r="J496" t="s">
        <v>78</v>
      </c>
      <c r="K496" t="s">
        <v>79</v>
      </c>
      <c r="L496" t="s">
        <v>325</v>
      </c>
    </row>
    <row r="497" spans="1:12" x14ac:dyDescent="0.25">
      <c r="A497" t="s">
        <v>712</v>
      </c>
      <c r="B497" t="s">
        <v>80</v>
      </c>
      <c r="C497" t="s">
        <v>81</v>
      </c>
      <c r="D497" t="s">
        <v>81</v>
      </c>
      <c r="K497" t="s">
        <v>82</v>
      </c>
      <c r="L497">
        <v>4</v>
      </c>
    </row>
    <row r="498" spans="1:12" x14ac:dyDescent="0.25">
      <c r="A498" t="s">
        <v>713</v>
      </c>
      <c r="B498" t="s">
        <v>94</v>
      </c>
      <c r="D498" t="s">
        <v>81</v>
      </c>
      <c r="K498" t="s">
        <v>315</v>
      </c>
      <c r="L498">
        <v>46</v>
      </c>
    </row>
    <row r="499" spans="1:12" x14ac:dyDescent="0.25">
      <c r="L499">
        <f>SUM(Tableau65[Taille (Bytes)])</f>
        <v>50</v>
      </c>
    </row>
    <row r="500" spans="1:12" x14ac:dyDescent="0.25">
      <c r="A500" s="4" t="s">
        <v>714</v>
      </c>
    </row>
    <row r="501" spans="1:12" x14ac:dyDescent="0.25">
      <c r="A501" t="s">
        <v>69</v>
      </c>
      <c r="B501" t="s">
        <v>70</v>
      </c>
      <c r="C501" t="s">
        <v>71</v>
      </c>
      <c r="D501" t="s">
        <v>72</v>
      </c>
      <c r="E501" t="s">
        <v>73</v>
      </c>
      <c r="F501" t="s">
        <v>74</v>
      </c>
      <c r="G501" t="s">
        <v>75</v>
      </c>
      <c r="H501" t="s">
        <v>76</v>
      </c>
      <c r="I501" t="s">
        <v>77</v>
      </c>
      <c r="J501" t="s">
        <v>78</v>
      </c>
      <c r="K501" t="s">
        <v>79</v>
      </c>
      <c r="L501" t="s">
        <v>325</v>
      </c>
    </row>
    <row r="502" spans="1:12" x14ac:dyDescent="0.25">
      <c r="A502" t="s">
        <v>715</v>
      </c>
      <c r="B502" t="s">
        <v>80</v>
      </c>
      <c r="C502" t="s">
        <v>81</v>
      </c>
      <c r="D502" t="s">
        <v>81</v>
      </c>
      <c r="K502" t="s">
        <v>82</v>
      </c>
      <c r="L502">
        <v>4</v>
      </c>
    </row>
    <row r="503" spans="1:12" x14ac:dyDescent="0.25">
      <c r="A503" t="s">
        <v>716</v>
      </c>
      <c r="B503" t="s">
        <v>94</v>
      </c>
      <c r="D503" t="s">
        <v>81</v>
      </c>
      <c r="K503" t="s">
        <v>316</v>
      </c>
      <c r="L503">
        <v>46</v>
      </c>
    </row>
    <row r="504" spans="1:12" x14ac:dyDescent="0.25">
      <c r="L504">
        <f>SUM(Tableau66[Taille (Bytes)])</f>
        <v>50</v>
      </c>
    </row>
    <row r="505" spans="1:12" x14ac:dyDescent="0.25">
      <c r="A505" t="s">
        <v>717</v>
      </c>
    </row>
    <row r="506" spans="1:12" x14ac:dyDescent="0.25">
      <c r="A506" t="s">
        <v>69</v>
      </c>
      <c r="B506" t="s">
        <v>70</v>
      </c>
      <c r="C506" t="s">
        <v>71</v>
      </c>
      <c r="D506" t="s">
        <v>72</v>
      </c>
      <c r="E506" t="s">
        <v>73</v>
      </c>
      <c r="F506" t="s">
        <v>74</v>
      </c>
      <c r="G506" t="s">
        <v>75</v>
      </c>
      <c r="H506" t="s">
        <v>76</v>
      </c>
      <c r="I506" t="s">
        <v>77</v>
      </c>
      <c r="J506" t="s">
        <v>78</v>
      </c>
      <c r="K506" t="s">
        <v>79</v>
      </c>
      <c r="L506" t="s">
        <v>325</v>
      </c>
    </row>
    <row r="507" spans="1:12" x14ac:dyDescent="0.25">
      <c r="A507" t="s">
        <v>718</v>
      </c>
      <c r="B507" t="s">
        <v>80</v>
      </c>
      <c r="C507" t="s">
        <v>81</v>
      </c>
      <c r="D507" t="s">
        <v>81</v>
      </c>
      <c r="K507" t="s">
        <v>82</v>
      </c>
      <c r="L507">
        <v>4</v>
      </c>
    </row>
    <row r="508" spans="1:12" x14ac:dyDescent="0.25">
      <c r="A508" t="s">
        <v>719</v>
      </c>
      <c r="B508" t="s">
        <v>94</v>
      </c>
      <c r="K508" t="s">
        <v>317</v>
      </c>
      <c r="L508">
        <v>46</v>
      </c>
    </row>
    <row r="509" spans="1:12" x14ac:dyDescent="0.25">
      <c r="L509">
        <f>SUM(Tableau67[Taille (Bytes)])</f>
        <v>50</v>
      </c>
    </row>
    <row r="510" spans="1:12" x14ac:dyDescent="0.25">
      <c r="A510" s="4" t="s">
        <v>720</v>
      </c>
    </row>
    <row r="511" spans="1:12" x14ac:dyDescent="0.25">
      <c r="A511" t="s">
        <v>69</v>
      </c>
      <c r="B511" t="s">
        <v>70</v>
      </c>
      <c r="C511" t="s">
        <v>71</v>
      </c>
      <c r="D511" t="s">
        <v>72</v>
      </c>
      <c r="E511" t="s">
        <v>73</v>
      </c>
      <c r="F511" t="s">
        <v>74</v>
      </c>
      <c r="G511" t="s">
        <v>75</v>
      </c>
      <c r="H511" t="s">
        <v>76</v>
      </c>
      <c r="I511" t="s">
        <v>77</v>
      </c>
      <c r="J511" t="s">
        <v>78</v>
      </c>
      <c r="K511" t="s">
        <v>79</v>
      </c>
      <c r="L511" t="s">
        <v>325</v>
      </c>
    </row>
    <row r="512" spans="1:12" x14ac:dyDescent="0.25">
      <c r="A512" t="s">
        <v>721</v>
      </c>
      <c r="B512" t="s">
        <v>80</v>
      </c>
      <c r="C512" t="s">
        <v>81</v>
      </c>
      <c r="D512" t="s">
        <v>81</v>
      </c>
      <c r="K512" t="s">
        <v>82</v>
      </c>
      <c r="L512">
        <v>4</v>
      </c>
    </row>
    <row r="513" spans="1:12" x14ac:dyDescent="0.25">
      <c r="A513" t="s">
        <v>722</v>
      </c>
      <c r="B513" t="s">
        <v>94</v>
      </c>
      <c r="D513" t="s">
        <v>81</v>
      </c>
      <c r="K513" t="s">
        <v>318</v>
      </c>
      <c r="L513">
        <v>46</v>
      </c>
    </row>
    <row r="514" spans="1:12" x14ac:dyDescent="0.25">
      <c r="L514">
        <f>SUM(Tableau68[Taille (Bytes)])</f>
        <v>50</v>
      </c>
    </row>
    <row r="515" spans="1:12" x14ac:dyDescent="0.25">
      <c r="A515" t="s">
        <v>723</v>
      </c>
    </row>
    <row r="516" spans="1:12" x14ac:dyDescent="0.25">
      <c r="A516" t="s">
        <v>69</v>
      </c>
      <c r="B516" t="s">
        <v>70</v>
      </c>
      <c r="C516" t="s">
        <v>71</v>
      </c>
      <c r="D516" t="s">
        <v>72</v>
      </c>
      <c r="E516" t="s">
        <v>73</v>
      </c>
      <c r="F516" t="s">
        <v>74</v>
      </c>
      <c r="G516" t="s">
        <v>75</v>
      </c>
      <c r="H516" t="s">
        <v>76</v>
      </c>
      <c r="I516" t="s">
        <v>77</v>
      </c>
      <c r="J516" t="s">
        <v>78</v>
      </c>
      <c r="K516" t="s">
        <v>79</v>
      </c>
      <c r="L516" t="s">
        <v>325</v>
      </c>
    </row>
    <row r="517" spans="1:12" x14ac:dyDescent="0.25">
      <c r="A517" t="s">
        <v>725</v>
      </c>
      <c r="B517" t="s">
        <v>80</v>
      </c>
      <c r="C517" t="s">
        <v>81</v>
      </c>
      <c r="D517" t="s">
        <v>81</v>
      </c>
      <c r="K517" t="s">
        <v>82</v>
      </c>
      <c r="L517">
        <v>4</v>
      </c>
    </row>
    <row r="518" spans="1:12" x14ac:dyDescent="0.25">
      <c r="A518" t="s">
        <v>724</v>
      </c>
      <c r="B518" t="s">
        <v>94</v>
      </c>
      <c r="D518" t="s">
        <v>81</v>
      </c>
      <c r="K518" t="s">
        <v>319</v>
      </c>
      <c r="L518">
        <v>46</v>
      </c>
    </row>
    <row r="519" spans="1:12" x14ac:dyDescent="0.25">
      <c r="L519">
        <f>SUM(Tableau69[Taille (Bytes)])</f>
        <v>50</v>
      </c>
    </row>
    <row r="520" spans="1:12" x14ac:dyDescent="0.25">
      <c r="A520" t="s">
        <v>726</v>
      </c>
    </row>
    <row r="521" spans="1:12" x14ac:dyDescent="0.25">
      <c r="A521" t="s">
        <v>69</v>
      </c>
      <c r="B521" t="s">
        <v>70</v>
      </c>
      <c r="C521" t="s">
        <v>71</v>
      </c>
      <c r="D521" t="s">
        <v>72</v>
      </c>
      <c r="E521" t="s">
        <v>73</v>
      </c>
      <c r="F521" t="s">
        <v>74</v>
      </c>
      <c r="G521" t="s">
        <v>75</v>
      </c>
      <c r="H521" t="s">
        <v>76</v>
      </c>
      <c r="I521" t="s">
        <v>77</v>
      </c>
      <c r="J521" t="s">
        <v>78</v>
      </c>
      <c r="K521" t="s">
        <v>79</v>
      </c>
      <c r="L521" t="s">
        <v>325</v>
      </c>
    </row>
    <row r="522" spans="1:12" x14ac:dyDescent="0.25">
      <c r="A522" t="s">
        <v>727</v>
      </c>
      <c r="B522" t="s">
        <v>80</v>
      </c>
      <c r="C522" t="s">
        <v>81</v>
      </c>
      <c r="D522" t="s">
        <v>81</v>
      </c>
      <c r="K522" t="s">
        <v>320</v>
      </c>
      <c r="L522">
        <v>4</v>
      </c>
    </row>
    <row r="523" spans="1:12" x14ac:dyDescent="0.25">
      <c r="A523" t="s">
        <v>728</v>
      </c>
      <c r="B523" t="s">
        <v>94</v>
      </c>
      <c r="D523" t="s">
        <v>81</v>
      </c>
      <c r="K523" t="s">
        <v>321</v>
      </c>
      <c r="L523">
        <v>46</v>
      </c>
    </row>
    <row r="524" spans="1:12" x14ac:dyDescent="0.25">
      <c r="A524" t="s">
        <v>729</v>
      </c>
      <c r="B524" t="s">
        <v>83</v>
      </c>
      <c r="D524" t="s">
        <v>81</v>
      </c>
      <c r="K524" t="s">
        <v>322</v>
      </c>
      <c r="L524">
        <v>3</v>
      </c>
    </row>
    <row r="525" spans="1:12" x14ac:dyDescent="0.25">
      <c r="A525" t="s">
        <v>730</v>
      </c>
      <c r="B525" t="s">
        <v>83</v>
      </c>
      <c r="D525" t="s">
        <v>81</v>
      </c>
      <c r="K525" t="s">
        <v>323</v>
      </c>
      <c r="L525">
        <v>3</v>
      </c>
    </row>
    <row r="526" spans="1:12" x14ac:dyDescent="0.25">
      <c r="L526">
        <f>SUM(Tableau70[Taille (Bytes)])</f>
        <v>56</v>
      </c>
    </row>
    <row r="527" spans="1:12" x14ac:dyDescent="0.25">
      <c r="A527" t="s">
        <v>731</v>
      </c>
    </row>
    <row r="528" spans="1:12" x14ac:dyDescent="0.25">
      <c r="A528" t="s">
        <v>69</v>
      </c>
      <c r="B528" t="s">
        <v>70</v>
      </c>
      <c r="C528" t="s">
        <v>71</v>
      </c>
      <c r="D528" t="s">
        <v>72</v>
      </c>
      <c r="E528" t="s">
        <v>73</v>
      </c>
      <c r="F528" t="s">
        <v>74</v>
      </c>
      <c r="G528" t="s">
        <v>75</v>
      </c>
      <c r="H528" t="s">
        <v>76</v>
      </c>
      <c r="I528" t="s">
        <v>77</v>
      </c>
      <c r="J528" t="s">
        <v>78</v>
      </c>
      <c r="K528" t="s">
        <v>79</v>
      </c>
      <c r="L528" t="s">
        <v>325</v>
      </c>
    </row>
    <row r="529" spans="1:12" x14ac:dyDescent="0.25">
      <c r="A529" t="s">
        <v>732</v>
      </c>
      <c r="B529" t="s">
        <v>80</v>
      </c>
      <c r="D529" t="s">
        <v>81</v>
      </c>
      <c r="L529">
        <v>4</v>
      </c>
    </row>
    <row r="530" spans="1:12" x14ac:dyDescent="0.25">
      <c r="A530" t="s">
        <v>733</v>
      </c>
      <c r="B530" t="s">
        <v>80</v>
      </c>
      <c r="D530" t="s">
        <v>81</v>
      </c>
      <c r="L530">
        <v>4</v>
      </c>
    </row>
    <row r="531" spans="1:12" x14ac:dyDescent="0.25">
      <c r="A531" t="s">
        <v>734</v>
      </c>
      <c r="B531" t="s">
        <v>83</v>
      </c>
      <c r="D531" t="s">
        <v>81</v>
      </c>
      <c r="L531">
        <v>3</v>
      </c>
    </row>
    <row r="532" spans="1:12" x14ac:dyDescent="0.25">
      <c r="L532">
        <f>SUM(Tableau71[Taille (Bytes)])</f>
        <v>11</v>
      </c>
    </row>
  </sheetData>
  <pageMargins left="0.7" right="0.7" top="0.75" bottom="0.75" header="0.3" footer="0.3"/>
  <pageSetup paperSize="9" orientation="portrait" r:id="rId1"/>
  <tableParts count="7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0"/>
  <sheetViews>
    <sheetView tabSelected="1" topLeftCell="A43" workbookViewId="0">
      <selection activeCell="D24" sqref="D24"/>
    </sheetView>
  </sheetViews>
  <sheetFormatPr baseColWidth="10" defaultRowHeight="15" x14ac:dyDescent="0.25"/>
  <cols>
    <col min="1" max="1" width="25.28515625" customWidth="1"/>
    <col min="2" max="2" width="33.42578125" customWidth="1"/>
    <col min="3" max="3" width="28.5703125" customWidth="1"/>
    <col min="4" max="4" width="23.42578125" customWidth="1"/>
    <col min="5" max="5" width="20.85546875" customWidth="1"/>
    <col min="6" max="6" width="22.85546875" customWidth="1"/>
    <col min="7" max="7" width="20.42578125" customWidth="1"/>
    <col min="8" max="8" width="19.5703125" customWidth="1"/>
  </cols>
  <sheetData>
    <row r="1" spans="1:8" x14ac:dyDescent="0.25">
      <c r="A1" t="s">
        <v>339</v>
      </c>
      <c r="B1">
        <v>2</v>
      </c>
      <c r="C1" t="s">
        <v>342</v>
      </c>
      <c r="D1">
        <v>100</v>
      </c>
    </row>
    <row r="2" spans="1:8" x14ac:dyDescent="0.25">
      <c r="A2" t="s">
        <v>338</v>
      </c>
      <c r="B2">
        <v>4</v>
      </c>
    </row>
    <row r="3" spans="1:8" x14ac:dyDescent="0.25">
      <c r="A3" t="s">
        <v>337</v>
      </c>
      <c r="B3">
        <v>1.85</v>
      </c>
    </row>
    <row r="4" spans="1:8" x14ac:dyDescent="0.25">
      <c r="A4" t="s">
        <v>336</v>
      </c>
      <c r="B4">
        <v>15</v>
      </c>
    </row>
    <row r="5" spans="1:8" x14ac:dyDescent="0.25">
      <c r="A5" t="s">
        <v>340</v>
      </c>
      <c r="B5">
        <v>44</v>
      </c>
    </row>
    <row r="6" spans="1:8" x14ac:dyDescent="0.25">
      <c r="A6" t="s">
        <v>341</v>
      </c>
      <c r="B6" s="2">
        <v>3.4000000000000002E-2</v>
      </c>
    </row>
    <row r="7" spans="1:8" x14ac:dyDescent="0.25">
      <c r="A7" t="s">
        <v>328</v>
      </c>
      <c r="B7" t="s">
        <v>329</v>
      </c>
      <c r="C7" t="s">
        <v>330</v>
      </c>
      <c r="D7" t="s">
        <v>343</v>
      </c>
      <c r="E7" t="s">
        <v>344</v>
      </c>
      <c r="F7" t="s">
        <v>345</v>
      </c>
      <c r="G7" t="s">
        <v>348</v>
      </c>
      <c r="H7" t="s">
        <v>350</v>
      </c>
    </row>
    <row r="8" spans="1:8" x14ac:dyDescent="0.25">
      <c r="A8" t="s">
        <v>0</v>
      </c>
      <c r="B8">
        <v>29</v>
      </c>
      <c r="C8">
        <f>B5*C24</f>
        <v>2200</v>
      </c>
      <c r="D8">
        <f>B5*D24</f>
        <v>13200</v>
      </c>
      <c r="E8">
        <f>B5*E24</f>
        <v>440</v>
      </c>
      <c r="F8">
        <f>Tableau72[[#This Row],[Taille Maximum Par record (Bytes)]]*Tableau72[[#This Row],[Nombre moyen PE]]</f>
        <v>63800</v>
      </c>
      <c r="G8">
        <f>Tableau72[[#This Row],[Taille Maximum Par record (Bytes)]]*Tableau72[[#This Row],[Nombre Moyen GE ]]</f>
        <v>382800</v>
      </c>
      <c r="H8">
        <f>Tableau72[[#This Row],[Taille Maximum Par record (Bytes)]]*Tableau72[[#This Row],[Nombre Moyen MP]]</f>
        <v>12760</v>
      </c>
    </row>
    <row r="9" spans="1:8" x14ac:dyDescent="0.25">
      <c r="A9" t="s">
        <v>1</v>
      </c>
      <c r="B9">
        <v>57</v>
      </c>
      <c r="C9">
        <f>((C24*3.4)/100)*B4</f>
        <v>25.5</v>
      </c>
      <c r="D9">
        <f>((D24*3.4)/100)*B4</f>
        <v>153</v>
      </c>
      <c r="E9">
        <f>((E24*3.4)/100)*B4</f>
        <v>5.1000000000000005</v>
      </c>
      <c r="F9">
        <f>Tableau72[[#This Row],[Taille Maximum Par record (Bytes)]]*Tableau72[[#This Row],[Nombre moyen PE]]</f>
        <v>1453.5</v>
      </c>
      <c r="G9">
        <f>Tableau72[[#This Row],[Taille Maximum Par record (Bytes)]]*Tableau72[[#This Row],[Nombre Moyen GE ]]</f>
        <v>8721</v>
      </c>
      <c r="H9">
        <f>Tableau72[[#This Row],[Taille Maximum Par record (Bytes)]]*Tableau72[[#This Row],[Nombre Moyen MP]]</f>
        <v>290.70000000000005</v>
      </c>
    </row>
    <row r="10" spans="1:8" x14ac:dyDescent="0.25">
      <c r="A10" t="s">
        <v>2</v>
      </c>
      <c r="B10">
        <v>26</v>
      </c>
      <c r="C10">
        <f>D1</f>
        <v>100</v>
      </c>
      <c r="D10">
        <v>200</v>
      </c>
      <c r="E10">
        <v>20</v>
      </c>
      <c r="F10">
        <f>Tableau72[[#This Row],[Taille Maximum Par record (Bytes)]]*Tableau72[[#This Row],[Nombre moyen PE]]</f>
        <v>2600</v>
      </c>
      <c r="G10">
        <f>Tableau72[[#This Row],[Taille Maximum Par record (Bytes)]]*Tableau72[[#This Row],[Nombre Moyen GE ]]</f>
        <v>5200</v>
      </c>
      <c r="H10">
        <f>Tableau72[[#This Row],[Taille Maximum Par record (Bytes)]]*Tableau72[[#This Row],[Nombre Moyen MP]]</f>
        <v>520</v>
      </c>
    </row>
    <row r="11" spans="1:8" x14ac:dyDescent="0.25">
      <c r="A11" t="s">
        <v>3</v>
      </c>
      <c r="B11">
        <v>25</v>
      </c>
      <c r="C11" s="1">
        <f>C26</f>
        <v>46.25</v>
      </c>
      <c r="D11" s="1">
        <f t="shared" ref="D11:E11" si="0">D26</f>
        <v>277.5</v>
      </c>
      <c r="E11" s="1">
        <f t="shared" si="0"/>
        <v>9.25</v>
      </c>
      <c r="F11">
        <f>Tableau72[[#This Row],[Taille Maximum Par record (Bytes)]]*Tableau72[[#This Row],[Nombre moyen PE]]</f>
        <v>1156.25</v>
      </c>
      <c r="G11">
        <f>Tableau72[[#This Row],[Taille Maximum Par record (Bytes)]]*Tableau72[[#This Row],[Nombre Moyen GE ]]</f>
        <v>6937.5</v>
      </c>
      <c r="H11">
        <f>Tableau72[[#This Row],[Taille Maximum Par record (Bytes)]]*Tableau72[[#This Row],[Nombre Moyen MP]]</f>
        <v>231.25</v>
      </c>
    </row>
    <row r="12" spans="1:8" x14ac:dyDescent="0.25">
      <c r="A12" t="s">
        <v>4</v>
      </c>
      <c r="B12">
        <v>65</v>
      </c>
      <c r="C12">
        <v>8</v>
      </c>
      <c r="D12">
        <v>8</v>
      </c>
      <c r="E12">
        <v>8</v>
      </c>
      <c r="F12">
        <f>Tableau72[[#This Row],[Taille Maximum Par record (Bytes)]]*Tableau72[[#This Row],[Nombre moyen PE]]</f>
        <v>520</v>
      </c>
      <c r="G12">
        <f>Tableau72[[#This Row],[Taille Maximum Par record (Bytes)]]*Tableau72[[#This Row],[Nombre Moyen GE ]]</f>
        <v>520</v>
      </c>
      <c r="H12">
        <f>Tableau72[[#This Row],[Taille Maximum Par record (Bytes)]]*Tableau72[[#This Row],[Nombre Moyen MP]]</f>
        <v>520</v>
      </c>
    </row>
    <row r="13" spans="1:8" x14ac:dyDescent="0.25">
      <c r="A13" t="s">
        <v>5</v>
      </c>
      <c r="B13">
        <v>271</v>
      </c>
      <c r="C13">
        <v>200</v>
      </c>
      <c r="D13">
        <v>400</v>
      </c>
      <c r="E13">
        <v>100</v>
      </c>
      <c r="F13">
        <f>Tableau72[[#This Row],[Taille Maximum Par record (Bytes)]]*Tableau72[[#This Row],[Nombre moyen PE]]</f>
        <v>54200</v>
      </c>
      <c r="G13">
        <f>Tableau72[[#This Row],[Taille Maximum Par record (Bytes)]]*Tableau72[[#This Row],[Nombre Moyen GE ]]</f>
        <v>108400</v>
      </c>
      <c r="H13">
        <f>Tableau72[[#This Row],[Taille Maximum Par record (Bytes)]]*Tableau72[[#This Row],[Nombre Moyen MP]]</f>
        <v>27100</v>
      </c>
    </row>
    <row r="14" spans="1:8" x14ac:dyDescent="0.25">
      <c r="A14" t="s">
        <v>6</v>
      </c>
      <c r="B14">
        <v>24</v>
      </c>
      <c r="C14">
        <v>5</v>
      </c>
      <c r="D14">
        <v>5</v>
      </c>
      <c r="E14">
        <v>5</v>
      </c>
      <c r="F14">
        <f>Tableau72[[#This Row],[Taille Maximum Par record (Bytes)]]*Tableau72[[#This Row],[Nombre moyen PE]]</f>
        <v>120</v>
      </c>
      <c r="G14">
        <f>Tableau72[[#This Row],[Taille Maximum Par record (Bytes)]]*Tableau72[[#This Row],[Nombre Moyen GE ]]</f>
        <v>120</v>
      </c>
      <c r="H14">
        <f>Tableau72[[#This Row],[Taille Maximum Par record (Bytes)]]*Tableau72[[#This Row],[Nombre Moyen MP]]</f>
        <v>120</v>
      </c>
    </row>
    <row r="15" spans="1:8" x14ac:dyDescent="0.25">
      <c r="A15" t="s">
        <v>7</v>
      </c>
      <c r="B15">
        <v>18</v>
      </c>
      <c r="C15">
        <f>(50*B4)</f>
        <v>750</v>
      </c>
      <c r="D15">
        <f>(100*B4)</f>
        <v>1500</v>
      </c>
      <c r="E15">
        <f>(10*B4)</f>
        <v>150</v>
      </c>
      <c r="F15">
        <f>Tableau72[[#This Row],[Taille Maximum Par record (Bytes)]]*Tableau72[[#This Row],[Nombre moyen PE]]</f>
        <v>13500</v>
      </c>
      <c r="G15">
        <f>Tableau72[[#This Row],[Taille Maximum Par record (Bytes)]]*Tableau72[[#This Row],[Nombre Moyen GE ]]</f>
        <v>27000</v>
      </c>
      <c r="H15">
        <f>Tableau72[[#This Row],[Taille Maximum Par record (Bytes)]]*Tableau72[[#This Row],[Nombre Moyen MP]]</f>
        <v>2700</v>
      </c>
    </row>
    <row r="16" spans="1:8" x14ac:dyDescent="0.25">
      <c r="A16" t="s">
        <v>8</v>
      </c>
      <c r="B16">
        <v>8</v>
      </c>
      <c r="C16">
        <f>(C15*(C24/4))</f>
        <v>9375</v>
      </c>
      <c r="D16">
        <f t="shared" ref="D16:E16" si="1">(D15*(D24/4))</f>
        <v>112500</v>
      </c>
      <c r="E16">
        <f t="shared" si="1"/>
        <v>375</v>
      </c>
      <c r="F16">
        <f>Tableau72[[#This Row],[Taille Maximum Par record (Bytes)]]*Tableau72[[#This Row],[Nombre moyen PE]]</f>
        <v>75000</v>
      </c>
      <c r="G16">
        <f>Tableau72[[#This Row],[Taille Maximum Par record (Bytes)]]*Tableau72[[#This Row],[Nombre Moyen GE ]]</f>
        <v>900000</v>
      </c>
      <c r="H16">
        <f>Tableau72[[#This Row],[Taille Maximum Par record (Bytes)]]*Tableau72[[#This Row],[Nombre Moyen MP]]</f>
        <v>3000</v>
      </c>
    </row>
    <row r="17" spans="1:8" x14ac:dyDescent="0.25">
      <c r="A17" t="s">
        <v>9</v>
      </c>
      <c r="B17">
        <v>114</v>
      </c>
      <c r="C17">
        <f>(4*C24*B4)</f>
        <v>3000</v>
      </c>
      <c r="D17">
        <f>(4*D24*B4)</f>
        <v>18000</v>
      </c>
      <c r="E17">
        <f>(4*E24*B4)</f>
        <v>600</v>
      </c>
      <c r="F17">
        <f>Tableau72[[#This Row],[Taille Maximum Par record (Bytes)]]*Tableau72[[#This Row],[Nombre moyen PE]]</f>
        <v>342000</v>
      </c>
      <c r="G17">
        <f>Tableau72[[#This Row],[Taille Maximum Par record (Bytes)]]*Tableau72[[#This Row],[Nombre Moyen GE ]]</f>
        <v>2052000</v>
      </c>
      <c r="H17">
        <f>Tableau72[[#This Row],[Taille Maximum Par record (Bytes)]]*Tableau72[[#This Row],[Nombre Moyen MP]]</f>
        <v>68400</v>
      </c>
    </row>
    <row r="18" spans="1:8" x14ac:dyDescent="0.25">
      <c r="A18" t="s">
        <v>10</v>
      </c>
      <c r="B18">
        <v>104</v>
      </c>
      <c r="C18">
        <f>(3*C10)</f>
        <v>300</v>
      </c>
      <c r="D18">
        <f t="shared" ref="D18:E18" si="2">(3*D10)</f>
        <v>600</v>
      </c>
      <c r="E18">
        <f t="shared" si="2"/>
        <v>60</v>
      </c>
      <c r="F18">
        <f>Tableau72[[#This Row],[Taille Maximum Par record (Bytes)]]*Tableau72[[#This Row],[Nombre moyen PE]]</f>
        <v>31200</v>
      </c>
      <c r="G18">
        <f>Tableau72[[#This Row],[Taille Maximum Par record (Bytes)]]*Tableau72[[#This Row],[Nombre Moyen GE ]]</f>
        <v>62400</v>
      </c>
      <c r="H18">
        <f>Tableau72[[#This Row],[Taille Maximum Par record (Bytes)]]*Tableau72[[#This Row],[Nombre Moyen MP]]</f>
        <v>6240</v>
      </c>
    </row>
    <row r="19" spans="1:8" x14ac:dyDescent="0.25">
      <c r="A19" t="s">
        <v>11</v>
      </c>
      <c r="B19">
        <v>57</v>
      </c>
      <c r="C19">
        <f>2*C24</f>
        <v>100</v>
      </c>
      <c r="D19">
        <f t="shared" ref="D19:E19" si="3">2*D24</f>
        <v>600</v>
      </c>
      <c r="E19">
        <f t="shared" si="3"/>
        <v>20</v>
      </c>
      <c r="F19">
        <f>Tableau72[[#This Row],[Taille Maximum Par record (Bytes)]]*Tableau72[[#This Row],[Nombre moyen PE]]</f>
        <v>5700</v>
      </c>
      <c r="G19">
        <f>Tableau72[[#This Row],[Taille Maximum Par record (Bytes)]]*Tableau72[[#This Row],[Nombre Moyen GE ]]</f>
        <v>34200</v>
      </c>
      <c r="H19">
        <f>Tableau72[[#This Row],[Taille Maximum Par record (Bytes)]]*Tableau72[[#This Row],[Nombre Moyen MP]]</f>
        <v>1140</v>
      </c>
    </row>
    <row r="20" spans="1:8" x14ac:dyDescent="0.25">
      <c r="A20" t="s">
        <v>12</v>
      </c>
      <c r="B20">
        <v>31</v>
      </c>
      <c r="C20">
        <f>(6*C24)</f>
        <v>300</v>
      </c>
      <c r="D20">
        <f t="shared" ref="D20:E20" si="4">(6*D24)</f>
        <v>1800</v>
      </c>
      <c r="E20">
        <f t="shared" si="4"/>
        <v>60</v>
      </c>
      <c r="F20">
        <f>Tableau72[[#This Row],[Taille Maximum Par record (Bytes)]]*Tableau72[[#This Row],[Nombre moyen PE]]</f>
        <v>9300</v>
      </c>
      <c r="G20">
        <f>Tableau72[[#This Row],[Taille Maximum Par record (Bytes)]]*Tableau72[[#This Row],[Nombre Moyen GE ]]</f>
        <v>55800</v>
      </c>
      <c r="H20">
        <f>Tableau72[[#This Row],[Taille Maximum Par record (Bytes)]]*Tableau72[[#This Row],[Nombre Moyen MP]]</f>
        <v>1860</v>
      </c>
    </row>
    <row r="21" spans="1:8" x14ac:dyDescent="0.25">
      <c r="A21" t="s">
        <v>13</v>
      </c>
      <c r="B21">
        <v>62</v>
      </c>
      <c r="C21">
        <v>5</v>
      </c>
      <c r="D21">
        <v>30</v>
      </c>
      <c r="E21">
        <v>3</v>
      </c>
      <c r="F21">
        <f>Tableau72[[#This Row],[Taille Maximum Par record (Bytes)]]*Tableau72[[#This Row],[Nombre moyen PE]]</f>
        <v>310</v>
      </c>
      <c r="G21">
        <f>Tableau72[[#This Row],[Taille Maximum Par record (Bytes)]]*Tableau72[[#This Row],[Nombre Moyen GE ]]</f>
        <v>1860</v>
      </c>
      <c r="H21">
        <f>Tableau72[[#This Row],[Taille Maximum Par record (Bytes)]]*Tableau72[[#This Row],[Nombre Moyen MP]]</f>
        <v>186</v>
      </c>
    </row>
    <row r="22" spans="1:8" x14ac:dyDescent="0.25">
      <c r="A22" t="s">
        <v>14</v>
      </c>
      <c r="B22">
        <v>50</v>
      </c>
      <c r="C22">
        <v>8</v>
      </c>
      <c r="D22">
        <v>8</v>
      </c>
      <c r="E22">
        <v>8</v>
      </c>
      <c r="F22">
        <f>Tableau72[[#This Row],[Taille Maximum Par record (Bytes)]]*Tableau72[[#This Row],[Nombre moyen PE]]</f>
        <v>400</v>
      </c>
      <c r="G22">
        <f>Tableau72[[#This Row],[Taille Maximum Par record (Bytes)]]*Tableau72[[#This Row],[Nombre Moyen GE ]]</f>
        <v>400</v>
      </c>
      <c r="H22">
        <f>Tableau72[[#This Row],[Taille Maximum Par record (Bytes)]]*Tableau72[[#This Row],[Nombre Moyen MP]]</f>
        <v>400</v>
      </c>
    </row>
    <row r="23" spans="1:8" x14ac:dyDescent="0.25">
      <c r="A23" t="s">
        <v>15</v>
      </c>
      <c r="B23">
        <v>100</v>
      </c>
      <c r="C23">
        <f>(8*C24)*B4</f>
        <v>6000</v>
      </c>
      <c r="D23">
        <f>(8*D24)*B4</f>
        <v>36000</v>
      </c>
      <c r="E23">
        <f>(8*E24)*B4</f>
        <v>1200</v>
      </c>
      <c r="F23">
        <f>Tableau72[[#This Row],[Taille Maximum Par record (Bytes)]]*Tableau72[[#This Row],[Nombre moyen PE]]</f>
        <v>600000</v>
      </c>
      <c r="G23">
        <f>Tableau72[[#This Row],[Taille Maximum Par record (Bytes)]]*Tableau72[[#This Row],[Nombre Moyen GE ]]</f>
        <v>3600000</v>
      </c>
      <c r="H23">
        <f>Tableau72[[#This Row],[Taille Maximum Par record (Bytes)]]*Tableau72[[#This Row],[Nombre Moyen MP]]</f>
        <v>120000</v>
      </c>
    </row>
    <row r="24" spans="1:8" x14ac:dyDescent="0.25">
      <c r="A24" t="s">
        <v>16</v>
      </c>
      <c r="B24">
        <v>446</v>
      </c>
      <c r="C24">
        <v>50</v>
      </c>
      <c r="D24">
        <v>300</v>
      </c>
      <c r="E24">
        <v>10</v>
      </c>
      <c r="F24">
        <f>Tableau72[[#This Row],[Taille Maximum Par record (Bytes)]]*Tableau72[[#This Row],[Nombre moyen PE]]</f>
        <v>22300</v>
      </c>
      <c r="G24">
        <f>Tableau72[[#This Row],[Taille Maximum Par record (Bytes)]]*Tableau72[[#This Row],[Nombre Moyen GE ]]</f>
        <v>133800</v>
      </c>
      <c r="H24">
        <f>Tableau72[[#This Row],[Taille Maximum Par record (Bytes)]]*Tableau72[[#This Row],[Nombre Moyen MP]]</f>
        <v>4460</v>
      </c>
    </row>
    <row r="25" spans="1:8" x14ac:dyDescent="0.25">
      <c r="A25" t="s">
        <v>17</v>
      </c>
      <c r="B25">
        <v>8</v>
      </c>
      <c r="C25">
        <f>C24*C34</f>
        <v>750</v>
      </c>
      <c r="D25">
        <f t="shared" ref="D25:E25" si="5">D24*D34</f>
        <v>15000</v>
      </c>
      <c r="E25">
        <f t="shared" si="5"/>
        <v>100</v>
      </c>
      <c r="F25">
        <f>Tableau72[[#This Row],[Taille Maximum Par record (Bytes)]]*Tableau72[[#This Row],[Nombre moyen PE]]</f>
        <v>6000</v>
      </c>
      <c r="G25">
        <f>Tableau72[[#This Row],[Taille Maximum Par record (Bytes)]]*Tableau72[[#This Row],[Nombre Moyen GE ]]</f>
        <v>120000</v>
      </c>
      <c r="H25">
        <f>Tableau72[[#This Row],[Taille Maximum Par record (Bytes)]]*Tableau72[[#This Row],[Nombre Moyen MP]]</f>
        <v>800</v>
      </c>
    </row>
    <row r="26" spans="1:8" x14ac:dyDescent="0.25">
      <c r="A26" t="s">
        <v>18</v>
      </c>
      <c r="B26">
        <v>151</v>
      </c>
      <c r="C26" s="1">
        <f>((C24/2)*B3)</f>
        <v>46.25</v>
      </c>
      <c r="D26" s="1">
        <f>((D24/2)*B3)</f>
        <v>277.5</v>
      </c>
      <c r="E26" s="1">
        <f>((E24/2)*B3)</f>
        <v>9.25</v>
      </c>
      <c r="F26">
        <f>Tableau72[[#This Row],[Taille Maximum Par record (Bytes)]]*Tableau72[[#This Row],[Nombre moyen PE]]</f>
        <v>6983.75</v>
      </c>
      <c r="G26">
        <f>Tableau72[[#This Row],[Taille Maximum Par record (Bytes)]]*Tableau72[[#This Row],[Nombre Moyen GE ]]</f>
        <v>41902.5</v>
      </c>
      <c r="H26">
        <f>Tableau72[[#This Row],[Taille Maximum Par record (Bytes)]]*Tableau72[[#This Row],[Nombre Moyen MP]]</f>
        <v>1396.75</v>
      </c>
    </row>
    <row r="27" spans="1:8" x14ac:dyDescent="0.25">
      <c r="A27" t="s">
        <v>19</v>
      </c>
      <c r="B27">
        <v>50</v>
      </c>
      <c r="C27">
        <v>10</v>
      </c>
      <c r="D27">
        <v>10</v>
      </c>
      <c r="E27">
        <v>10</v>
      </c>
      <c r="F27">
        <f>Tableau72[[#This Row],[Taille Maximum Par record (Bytes)]]*Tableau72[[#This Row],[Nombre moyen PE]]</f>
        <v>500</v>
      </c>
      <c r="G27">
        <f>Tableau72[[#This Row],[Taille Maximum Par record (Bytes)]]*Tableau72[[#This Row],[Nombre Moyen GE ]]</f>
        <v>500</v>
      </c>
      <c r="H27">
        <f>Tableau72[[#This Row],[Taille Maximum Par record (Bytes)]]*Tableau72[[#This Row],[Nombre Moyen MP]]</f>
        <v>500</v>
      </c>
    </row>
    <row r="28" spans="1:8" x14ac:dyDescent="0.25">
      <c r="A28" t="s">
        <v>20</v>
      </c>
      <c r="B28">
        <v>107</v>
      </c>
      <c r="C28">
        <f>C24*B4</f>
        <v>750</v>
      </c>
      <c r="D28">
        <f>D24*B4</f>
        <v>4500</v>
      </c>
      <c r="E28">
        <f>E24*B4</f>
        <v>150</v>
      </c>
      <c r="F28">
        <f>Tableau72[[#This Row],[Taille Maximum Par record (Bytes)]]*Tableau72[[#This Row],[Nombre moyen PE]]</f>
        <v>80250</v>
      </c>
      <c r="G28">
        <f>Tableau72[[#This Row],[Taille Maximum Par record (Bytes)]]*Tableau72[[#This Row],[Nombre Moyen GE ]]</f>
        <v>481500</v>
      </c>
      <c r="H28">
        <f>Tableau72[[#This Row],[Taille Maximum Par record (Bytes)]]*Tableau72[[#This Row],[Nombre Moyen MP]]</f>
        <v>16050</v>
      </c>
    </row>
    <row r="29" spans="1:8" x14ac:dyDescent="0.25">
      <c r="A29" t="s">
        <v>21</v>
      </c>
      <c r="B29">
        <v>91</v>
      </c>
      <c r="C29">
        <f>C24*12*B4</f>
        <v>9000</v>
      </c>
      <c r="D29">
        <f>D24*12*B4</f>
        <v>54000</v>
      </c>
      <c r="E29">
        <f>E24*12*B4</f>
        <v>1800</v>
      </c>
      <c r="F29">
        <f>Tableau72[[#This Row],[Taille Maximum Par record (Bytes)]]*Tableau72[[#This Row],[Nombre moyen PE]]</f>
        <v>819000</v>
      </c>
      <c r="G29">
        <f>Tableau72[[#This Row],[Taille Maximum Par record (Bytes)]]*Tableau72[[#This Row],[Nombre Moyen GE ]]</f>
        <v>4914000</v>
      </c>
      <c r="H29">
        <f>Tableau72[[#This Row],[Taille Maximum Par record (Bytes)]]*Tableau72[[#This Row],[Nombre Moyen MP]]</f>
        <v>163800</v>
      </c>
    </row>
    <row r="30" spans="1:8" x14ac:dyDescent="0.25">
      <c r="A30" t="s">
        <v>22</v>
      </c>
      <c r="B30">
        <v>80</v>
      </c>
      <c r="C30">
        <f>C24*B2</f>
        <v>200</v>
      </c>
      <c r="D30">
        <f>D24*B2</f>
        <v>1200</v>
      </c>
      <c r="E30">
        <f>E24*B2</f>
        <v>40</v>
      </c>
      <c r="F30">
        <f>Tableau72[[#This Row],[Taille Maximum Par record (Bytes)]]*Tableau72[[#This Row],[Nombre moyen PE]]</f>
        <v>16000</v>
      </c>
      <c r="G30">
        <f>Tableau72[[#This Row],[Taille Maximum Par record (Bytes)]]*Tableau72[[#This Row],[Nombre Moyen GE ]]</f>
        <v>96000</v>
      </c>
      <c r="H30">
        <f>Tableau72[[#This Row],[Taille Maximum Par record (Bytes)]]*Tableau72[[#This Row],[Nombre Moyen MP]]</f>
        <v>3200</v>
      </c>
    </row>
    <row r="31" spans="1:8" x14ac:dyDescent="0.25">
      <c r="A31" t="s">
        <v>23</v>
      </c>
      <c r="B31">
        <v>252</v>
      </c>
      <c r="C31">
        <f>C24*B1*B4</f>
        <v>1500</v>
      </c>
      <c r="D31">
        <f>D24*B1*B4</f>
        <v>9000</v>
      </c>
      <c r="E31">
        <f>E24*B1*B4</f>
        <v>300</v>
      </c>
      <c r="F31">
        <f>Tableau72[[#This Row],[Taille Maximum Par record (Bytes)]]*Tableau72[[#This Row],[Nombre moyen PE]]</f>
        <v>378000</v>
      </c>
      <c r="G31">
        <f>Tableau72[[#This Row],[Taille Maximum Par record (Bytes)]]*Tableau72[[#This Row],[Nombre Moyen GE ]]</f>
        <v>2268000</v>
      </c>
      <c r="H31">
        <f>Tableau72[[#This Row],[Taille Maximum Par record (Bytes)]]*Tableau72[[#This Row],[Nombre Moyen MP]]</f>
        <v>75600</v>
      </c>
    </row>
    <row r="32" spans="1:8" x14ac:dyDescent="0.25">
      <c r="A32" t="s">
        <v>24</v>
      </c>
      <c r="B32">
        <v>8</v>
      </c>
      <c r="C32">
        <f>C56*C31</f>
        <v>75000</v>
      </c>
      <c r="D32">
        <f t="shared" ref="D32:E32" si="6">D56*D31</f>
        <v>1350000</v>
      </c>
      <c r="E32">
        <f t="shared" si="6"/>
        <v>9000</v>
      </c>
      <c r="F32">
        <f>Tableau72[[#This Row],[Taille Maximum Par record (Bytes)]]*Tableau72[[#This Row],[Nombre moyen PE]]</f>
        <v>600000</v>
      </c>
      <c r="G32">
        <f>Tableau72[[#This Row],[Taille Maximum Par record (Bytes)]]*Tableau72[[#This Row],[Nombre Moyen GE ]]</f>
        <v>10800000</v>
      </c>
      <c r="H32">
        <f>Tableau72[[#This Row],[Taille Maximum Par record (Bytes)]]*Tableau72[[#This Row],[Nombre Moyen MP]]</f>
        <v>72000</v>
      </c>
    </row>
    <row r="33" spans="1:8" x14ac:dyDescent="0.25">
      <c r="A33" t="s">
        <v>25</v>
      </c>
      <c r="B33">
        <v>54</v>
      </c>
      <c r="C33">
        <v>12</v>
      </c>
      <c r="D33">
        <v>50</v>
      </c>
      <c r="E33">
        <v>7</v>
      </c>
      <c r="F33">
        <f>Tableau72[[#This Row],[Taille Maximum Par record (Bytes)]]*Tableau72[[#This Row],[Nombre moyen PE]]</f>
        <v>648</v>
      </c>
      <c r="G33">
        <f>Tableau72[[#This Row],[Taille Maximum Par record (Bytes)]]*Tableau72[[#This Row],[Nombre Moyen GE ]]</f>
        <v>2700</v>
      </c>
      <c r="H33">
        <f>Tableau72[[#This Row],[Taille Maximum Par record (Bytes)]]*Tableau72[[#This Row],[Nombre Moyen MP]]</f>
        <v>378</v>
      </c>
    </row>
    <row r="34" spans="1:8" x14ac:dyDescent="0.25">
      <c r="A34" t="s">
        <v>26</v>
      </c>
      <c r="B34">
        <v>50</v>
      </c>
      <c r="C34">
        <v>15</v>
      </c>
      <c r="D34">
        <v>50</v>
      </c>
      <c r="E34">
        <v>10</v>
      </c>
      <c r="F34">
        <f>Tableau72[[#This Row],[Taille Maximum Par record (Bytes)]]*Tableau72[[#This Row],[Nombre moyen PE]]</f>
        <v>750</v>
      </c>
      <c r="G34">
        <f>Tableau72[[#This Row],[Taille Maximum Par record (Bytes)]]*Tableau72[[#This Row],[Nombre Moyen GE ]]</f>
        <v>2500</v>
      </c>
      <c r="H34">
        <f>Tableau72[[#This Row],[Taille Maximum Par record (Bytes)]]*Tableau72[[#This Row],[Nombre Moyen MP]]</f>
        <v>500</v>
      </c>
    </row>
    <row r="35" spans="1:8" x14ac:dyDescent="0.25">
      <c r="A35" t="s">
        <v>27</v>
      </c>
      <c r="B35">
        <v>64</v>
      </c>
      <c r="C35">
        <f>C24/25</f>
        <v>2</v>
      </c>
      <c r="D35">
        <f t="shared" ref="D35" si="7">D24/25</f>
        <v>12</v>
      </c>
      <c r="E35">
        <v>1</v>
      </c>
      <c r="F35">
        <f>Tableau72[[#This Row],[Taille Maximum Par record (Bytes)]]*Tableau72[[#This Row],[Nombre moyen PE]]</f>
        <v>128</v>
      </c>
      <c r="G35">
        <f>Tableau72[[#This Row],[Taille Maximum Par record (Bytes)]]*Tableau72[[#This Row],[Nombre Moyen GE ]]</f>
        <v>768</v>
      </c>
      <c r="H35">
        <f>Tableau72[[#This Row],[Taille Maximum Par record (Bytes)]]*Tableau72[[#This Row],[Nombre Moyen MP]]</f>
        <v>64</v>
      </c>
    </row>
    <row r="36" spans="1:8" x14ac:dyDescent="0.25">
      <c r="A36" t="s">
        <v>28</v>
      </c>
      <c r="B36">
        <v>312</v>
      </c>
      <c r="C36">
        <f>100*C24*B4</f>
        <v>75000</v>
      </c>
      <c r="D36">
        <f>100*D24*B4</f>
        <v>450000</v>
      </c>
      <c r="E36">
        <f>100*E24*B4</f>
        <v>15000</v>
      </c>
      <c r="F36">
        <f>Tableau72[[#This Row],[Taille Maximum Par record (Bytes)]]*Tableau72[[#This Row],[Nombre moyen PE]]</f>
        <v>23400000</v>
      </c>
      <c r="G36">
        <f>Tableau72[[#This Row],[Taille Maximum Par record (Bytes)]]*Tableau72[[#This Row],[Nombre Moyen GE ]]</f>
        <v>140400000</v>
      </c>
      <c r="H36">
        <f>Tableau72[[#This Row],[Taille Maximum Par record (Bytes)]]*Tableau72[[#This Row],[Nombre Moyen MP]]</f>
        <v>4680000</v>
      </c>
    </row>
    <row r="37" spans="1:8" x14ac:dyDescent="0.25">
      <c r="A37" t="s">
        <v>29</v>
      </c>
      <c r="B37">
        <v>16</v>
      </c>
      <c r="C37">
        <v>10</v>
      </c>
      <c r="D37">
        <v>30</v>
      </c>
      <c r="E37">
        <v>5</v>
      </c>
      <c r="F37">
        <f>Tableau72[[#This Row],[Taille Maximum Par record (Bytes)]]*Tableau72[[#This Row],[Nombre moyen PE]]</f>
        <v>160</v>
      </c>
      <c r="G37">
        <f>Tableau72[[#This Row],[Taille Maximum Par record (Bytes)]]*Tableau72[[#This Row],[Nombre Moyen GE ]]</f>
        <v>480</v>
      </c>
      <c r="H37">
        <f>Tableau72[[#This Row],[Taille Maximum Par record (Bytes)]]*Tableau72[[#This Row],[Nombre Moyen MP]]</f>
        <v>80</v>
      </c>
    </row>
    <row r="38" spans="1:8" x14ac:dyDescent="0.25">
      <c r="A38" t="s">
        <v>30</v>
      </c>
      <c r="B38">
        <v>234</v>
      </c>
      <c r="C38">
        <v>50</v>
      </c>
      <c r="D38">
        <v>150</v>
      </c>
      <c r="E38">
        <v>30</v>
      </c>
      <c r="F38">
        <f>Tableau72[[#This Row],[Taille Maximum Par record (Bytes)]]*Tableau72[[#This Row],[Nombre moyen PE]]</f>
        <v>11700</v>
      </c>
      <c r="G38">
        <f>Tableau72[[#This Row],[Taille Maximum Par record (Bytes)]]*Tableau72[[#This Row],[Nombre Moyen GE ]]</f>
        <v>35100</v>
      </c>
      <c r="H38">
        <f>Tableau72[[#This Row],[Taille Maximum Par record (Bytes)]]*Tableau72[[#This Row],[Nombre Moyen MP]]</f>
        <v>7020</v>
      </c>
    </row>
    <row r="39" spans="1:8" x14ac:dyDescent="0.25">
      <c r="A39" t="s">
        <v>31</v>
      </c>
      <c r="B39">
        <v>50</v>
      </c>
      <c r="C39">
        <v>5</v>
      </c>
      <c r="D39">
        <v>10</v>
      </c>
      <c r="E39">
        <v>5</v>
      </c>
      <c r="F39">
        <f>Tableau72[[#This Row],[Taille Maximum Par record (Bytes)]]*Tableau72[[#This Row],[Nombre moyen PE]]</f>
        <v>250</v>
      </c>
      <c r="G39">
        <f>Tableau72[[#This Row],[Taille Maximum Par record (Bytes)]]*Tableau72[[#This Row],[Nombre Moyen GE ]]</f>
        <v>500</v>
      </c>
      <c r="H39">
        <f>Tableau72[[#This Row],[Taille Maximum Par record (Bytes)]]*Tableau72[[#This Row],[Nombre Moyen MP]]</f>
        <v>250</v>
      </c>
    </row>
    <row r="40" spans="1:8" x14ac:dyDescent="0.25">
      <c r="A40" t="s">
        <v>32</v>
      </c>
      <c r="B40">
        <v>309</v>
      </c>
      <c r="C40">
        <v>10</v>
      </c>
      <c r="D40">
        <v>10</v>
      </c>
      <c r="E40">
        <v>10</v>
      </c>
      <c r="F40">
        <f>Tableau72[[#This Row],[Taille Maximum Par record (Bytes)]]*Tableau72[[#This Row],[Nombre moyen PE]]</f>
        <v>3090</v>
      </c>
      <c r="G40">
        <f>Tableau72[[#This Row],[Taille Maximum Par record (Bytes)]]*Tableau72[[#This Row],[Nombre Moyen GE ]]</f>
        <v>3090</v>
      </c>
      <c r="H40">
        <f>Tableau72[[#This Row],[Taille Maximum Par record (Bytes)]]*Tableau72[[#This Row],[Nombre Moyen MP]]</f>
        <v>3090</v>
      </c>
    </row>
    <row r="41" spans="1:8" x14ac:dyDescent="0.25">
      <c r="A41" t="s">
        <v>33</v>
      </c>
      <c r="B41">
        <v>146</v>
      </c>
      <c r="C41">
        <f>(5*C24*B4)</f>
        <v>3750</v>
      </c>
      <c r="D41">
        <f>(5*D24*B4)</f>
        <v>22500</v>
      </c>
      <c r="E41">
        <f>(5*E24*B4)</f>
        <v>750</v>
      </c>
      <c r="F41">
        <f>Tableau72[[#This Row],[Taille Maximum Par record (Bytes)]]*Tableau72[[#This Row],[Nombre moyen PE]]</f>
        <v>547500</v>
      </c>
      <c r="G41">
        <f>Tableau72[[#This Row],[Taille Maximum Par record (Bytes)]]*Tableau72[[#This Row],[Nombre Moyen GE ]]</f>
        <v>3285000</v>
      </c>
      <c r="H41">
        <f>Tableau72[[#This Row],[Taille Maximum Par record (Bytes)]]*Tableau72[[#This Row],[Nombre Moyen MP]]</f>
        <v>109500</v>
      </c>
    </row>
    <row r="42" spans="1:8" x14ac:dyDescent="0.25">
      <c r="A42" t="s">
        <v>34</v>
      </c>
      <c r="B42">
        <v>61</v>
      </c>
      <c r="C42">
        <f>(C24+C28+C37+C21+C60+C30+C56+C8)+200</f>
        <v>3515</v>
      </c>
      <c r="D42">
        <f>(D24+D28+D37+D21+D60+D30+D56+D8)+1000</f>
        <v>20710</v>
      </c>
      <c r="E42">
        <f>(E24+E28+E37+E21+E60+E30+E56+E8)+280</f>
        <v>968</v>
      </c>
      <c r="F42">
        <f>Tableau72[[#This Row],[Taille Maximum Par record (Bytes)]]*Tableau72[[#This Row],[Nombre moyen PE]]</f>
        <v>214415</v>
      </c>
      <c r="G42">
        <f>Tableau72[[#This Row],[Taille Maximum Par record (Bytes)]]*Tableau72[[#This Row],[Nombre Moyen GE ]]</f>
        <v>1263310</v>
      </c>
      <c r="H42">
        <f>Tableau72[[#This Row],[Taille Maximum Par record (Bytes)]]*Tableau72[[#This Row],[Nombre Moyen MP]]</f>
        <v>59048</v>
      </c>
    </row>
    <row r="43" spans="1:8" x14ac:dyDescent="0.25">
      <c r="A43" t="s">
        <v>35</v>
      </c>
      <c r="B43">
        <v>8</v>
      </c>
      <c r="C43" s="1">
        <f>C42/2</f>
        <v>1757.5</v>
      </c>
      <c r="D43" s="1">
        <f t="shared" ref="D43:E43" si="8">D42/2</f>
        <v>10355</v>
      </c>
      <c r="E43" s="1">
        <f t="shared" si="8"/>
        <v>484</v>
      </c>
      <c r="F43">
        <f>Tableau72[[#This Row],[Taille Maximum Par record (Bytes)]]*Tableau72[[#This Row],[Nombre moyen PE]]</f>
        <v>14060</v>
      </c>
      <c r="G43">
        <f>Tableau72[[#This Row],[Taille Maximum Par record (Bytes)]]*Tableau72[[#This Row],[Nombre Moyen GE ]]</f>
        <v>82840</v>
      </c>
      <c r="H43">
        <f>Tableau72[[#This Row],[Taille Maximum Par record (Bytes)]]*Tableau72[[#This Row],[Nombre Moyen MP]]</f>
        <v>3872</v>
      </c>
    </row>
    <row r="44" spans="1:8" x14ac:dyDescent="0.25">
      <c r="A44" t="s">
        <v>36</v>
      </c>
      <c r="B44">
        <v>50</v>
      </c>
      <c r="C44">
        <v>12</v>
      </c>
      <c r="D44">
        <v>12</v>
      </c>
      <c r="E44">
        <v>12</v>
      </c>
      <c r="F44">
        <f>Tableau72[[#This Row],[Taille Maximum Par record (Bytes)]]*Tableau72[[#This Row],[Nombre moyen PE]]</f>
        <v>600</v>
      </c>
      <c r="G44">
        <f>Tableau72[[#This Row],[Taille Maximum Par record (Bytes)]]*Tableau72[[#This Row],[Nombre Moyen GE ]]</f>
        <v>600</v>
      </c>
      <c r="H44">
        <f>Tableau72[[#This Row],[Taille Maximum Par record (Bytes)]]*Tableau72[[#This Row],[Nombre Moyen MP]]</f>
        <v>600</v>
      </c>
    </row>
    <row r="45" spans="1:8" x14ac:dyDescent="0.25">
      <c r="A45" t="s">
        <v>37</v>
      </c>
      <c r="B45">
        <v>372</v>
      </c>
      <c r="C45">
        <v>3</v>
      </c>
      <c r="D45">
        <v>10</v>
      </c>
      <c r="E45">
        <v>2</v>
      </c>
      <c r="F45">
        <f>Tableau72[[#This Row],[Taille Maximum Par record (Bytes)]]*Tableau72[[#This Row],[Nombre moyen PE]]</f>
        <v>1116</v>
      </c>
      <c r="G45">
        <f>Tableau72[[#This Row],[Taille Maximum Par record (Bytes)]]*Tableau72[[#This Row],[Nombre Moyen GE ]]</f>
        <v>3720</v>
      </c>
      <c r="H45">
        <f>Tableau72[[#This Row],[Taille Maximum Par record (Bytes)]]*Tableau72[[#This Row],[Nombre Moyen MP]]</f>
        <v>744</v>
      </c>
    </row>
    <row r="46" spans="1:8" x14ac:dyDescent="0.25">
      <c r="A46" t="s">
        <v>38</v>
      </c>
      <c r="B46">
        <v>16</v>
      </c>
      <c r="C46">
        <f>6*C24</f>
        <v>300</v>
      </c>
      <c r="D46">
        <f t="shared" ref="D46:E46" si="9">6*D24</f>
        <v>1800</v>
      </c>
      <c r="E46">
        <f t="shared" si="9"/>
        <v>60</v>
      </c>
      <c r="F46">
        <f>Tableau72[[#This Row],[Taille Maximum Par record (Bytes)]]*Tableau72[[#This Row],[Nombre moyen PE]]</f>
        <v>4800</v>
      </c>
      <c r="G46">
        <f>Tableau72[[#This Row],[Taille Maximum Par record (Bytes)]]*Tableau72[[#This Row],[Nombre Moyen GE ]]</f>
        <v>28800</v>
      </c>
      <c r="H46">
        <f>Tableau72[[#This Row],[Taille Maximum Par record (Bytes)]]*Tableau72[[#This Row],[Nombre Moyen MP]]</f>
        <v>960</v>
      </c>
    </row>
    <row r="47" spans="1:8" x14ac:dyDescent="0.25">
      <c r="A47" t="s">
        <v>39</v>
      </c>
      <c r="B47">
        <v>66</v>
      </c>
      <c r="C47">
        <v>5</v>
      </c>
      <c r="D47">
        <v>10</v>
      </c>
      <c r="E47">
        <v>5</v>
      </c>
      <c r="F47">
        <f>Tableau72[[#This Row],[Taille Maximum Par record (Bytes)]]*Tableau72[[#This Row],[Nombre moyen PE]]</f>
        <v>330</v>
      </c>
      <c r="G47">
        <f>Tableau72[[#This Row],[Taille Maximum Par record (Bytes)]]*Tableau72[[#This Row],[Nombre Moyen GE ]]</f>
        <v>660</v>
      </c>
      <c r="H47">
        <f>Tableau72[[#This Row],[Taille Maximum Par record (Bytes)]]*Tableau72[[#This Row],[Nombre Moyen MP]]</f>
        <v>330</v>
      </c>
    </row>
    <row r="48" spans="1:8" x14ac:dyDescent="0.25">
      <c r="A48" t="s">
        <v>40</v>
      </c>
      <c r="B48">
        <v>8</v>
      </c>
      <c r="C48">
        <f>C47*C37</f>
        <v>50</v>
      </c>
      <c r="D48">
        <f t="shared" ref="D48:E48" si="10">D47*D37</f>
        <v>300</v>
      </c>
      <c r="E48">
        <f t="shared" si="10"/>
        <v>25</v>
      </c>
      <c r="F48">
        <f>Tableau72[[#This Row],[Taille Maximum Par record (Bytes)]]*Tableau72[[#This Row],[Nombre moyen PE]]</f>
        <v>400</v>
      </c>
      <c r="G48">
        <f>Tableau72[[#This Row],[Taille Maximum Par record (Bytes)]]*Tableau72[[#This Row],[Nombre Moyen GE ]]</f>
        <v>2400</v>
      </c>
      <c r="H48">
        <f>Tableau72[[#This Row],[Taille Maximum Par record (Bytes)]]*Tableau72[[#This Row],[Nombre Moyen MP]]</f>
        <v>200</v>
      </c>
    </row>
    <row r="49" spans="1:8" x14ac:dyDescent="0.25">
      <c r="A49" t="s">
        <v>41</v>
      </c>
      <c r="B49">
        <v>80</v>
      </c>
      <c r="C49">
        <v>3</v>
      </c>
      <c r="D49">
        <v>10</v>
      </c>
      <c r="E49">
        <v>3</v>
      </c>
      <c r="F49">
        <f>Tableau72[[#This Row],[Taille Maximum Par record (Bytes)]]*Tableau72[[#This Row],[Nombre moyen PE]]</f>
        <v>240</v>
      </c>
      <c r="G49">
        <f>Tableau72[[#This Row],[Taille Maximum Par record (Bytes)]]*Tableau72[[#This Row],[Nombre Moyen GE ]]</f>
        <v>800</v>
      </c>
      <c r="H49">
        <f>Tableau72[[#This Row],[Taille Maximum Par record (Bytes)]]*Tableau72[[#This Row],[Nombre Moyen MP]]</f>
        <v>240</v>
      </c>
    </row>
    <row r="50" spans="1:8" x14ac:dyDescent="0.25">
      <c r="A50" t="s">
        <v>42</v>
      </c>
      <c r="B50">
        <v>13</v>
      </c>
      <c r="C50">
        <f>6*220*C24*B4</f>
        <v>990000</v>
      </c>
      <c r="D50">
        <f>6*220*D24*B4</f>
        <v>5940000</v>
      </c>
      <c r="E50">
        <f>6*220*E24*B4</f>
        <v>198000</v>
      </c>
      <c r="F50">
        <f>Tableau72[[#This Row],[Taille Maximum Par record (Bytes)]]*Tableau72[[#This Row],[Nombre moyen PE]]</f>
        <v>12870000</v>
      </c>
      <c r="G50">
        <f>Tableau72[[#This Row],[Taille Maximum Par record (Bytes)]]*Tableau72[[#This Row],[Nombre Moyen GE ]]</f>
        <v>77220000</v>
      </c>
      <c r="H50">
        <f>Tableau72[[#This Row],[Taille Maximum Par record (Bytes)]]*Tableau72[[#This Row],[Nombre Moyen MP]]</f>
        <v>2574000</v>
      </c>
    </row>
    <row r="51" spans="1:8" x14ac:dyDescent="0.25">
      <c r="A51" t="s">
        <v>43</v>
      </c>
      <c r="B51">
        <v>8</v>
      </c>
      <c r="C51">
        <f>C50*C52</f>
        <v>2450250000000</v>
      </c>
      <c r="D51">
        <f t="shared" ref="D51:E51" si="11">D50*D52</f>
        <v>88209000000000</v>
      </c>
      <c r="E51">
        <f t="shared" si="11"/>
        <v>98010000000</v>
      </c>
      <c r="F51">
        <f>Tableau72[[#This Row],[Taille Maximum Par record (Bytes)]]*Tableau72[[#This Row],[Nombre moyen PE]]</f>
        <v>19602000000000</v>
      </c>
      <c r="G51">
        <f>Tableau72[[#This Row],[Taille Maximum Par record (Bytes)]]*Tableau72[[#This Row],[Nombre Moyen GE ]]</f>
        <v>705672000000000</v>
      </c>
      <c r="H51">
        <f>Tableau72[[#This Row],[Taille Maximum Par record (Bytes)]]*Tableau72[[#This Row],[Nombre Moyen MP]]</f>
        <v>784080000000</v>
      </c>
    </row>
    <row r="52" spans="1:8" x14ac:dyDescent="0.25">
      <c r="A52" t="s">
        <v>44</v>
      </c>
      <c r="B52">
        <v>20</v>
      </c>
      <c r="C52">
        <f>C24*220*15*B4</f>
        <v>2475000</v>
      </c>
      <c r="D52">
        <f>D24*220*15*B4</f>
        <v>14850000</v>
      </c>
      <c r="E52">
        <f>E24*220*15*B4</f>
        <v>495000</v>
      </c>
      <c r="F52">
        <f>Tableau72[[#This Row],[Taille Maximum Par record (Bytes)]]*Tableau72[[#This Row],[Nombre moyen PE]]</f>
        <v>49500000</v>
      </c>
      <c r="G52">
        <f>Tableau72[[#This Row],[Taille Maximum Par record (Bytes)]]*Tableau72[[#This Row],[Nombre Moyen GE ]]</f>
        <v>297000000</v>
      </c>
      <c r="H52">
        <f>Tableau72[[#This Row],[Taille Maximum Par record (Bytes)]]*Tableau72[[#This Row],[Nombre Moyen MP]]</f>
        <v>9900000</v>
      </c>
    </row>
    <row r="53" spans="1:8" x14ac:dyDescent="0.25">
      <c r="A53" t="s">
        <v>45</v>
      </c>
      <c r="B53">
        <v>230</v>
      </c>
      <c r="C53">
        <f>100*C24*B4</f>
        <v>75000</v>
      </c>
      <c r="D53">
        <f>100*D24*B4</f>
        <v>450000</v>
      </c>
      <c r="E53">
        <f>100*E24*B4</f>
        <v>15000</v>
      </c>
      <c r="F53">
        <f>Tableau72[[#This Row],[Taille Maximum Par record (Bytes)]]*Tableau72[[#This Row],[Nombre moyen PE]]</f>
        <v>17250000</v>
      </c>
      <c r="G53">
        <f>Tableau72[[#This Row],[Taille Maximum Par record (Bytes)]]*Tableau72[[#This Row],[Nombre Moyen GE ]]</f>
        <v>103500000</v>
      </c>
      <c r="H53">
        <f>Tableau72[[#This Row],[Taille Maximum Par record (Bytes)]]*Tableau72[[#This Row],[Nombre Moyen MP]]</f>
        <v>3450000</v>
      </c>
    </row>
    <row r="54" spans="1:8" x14ac:dyDescent="0.25">
      <c r="A54" t="s">
        <v>46</v>
      </c>
      <c r="B54">
        <v>54</v>
      </c>
      <c r="C54">
        <f>2*D1</f>
        <v>200</v>
      </c>
      <c r="D54">
        <f>2*D1</f>
        <v>200</v>
      </c>
      <c r="E54">
        <f>2*D1</f>
        <v>200</v>
      </c>
      <c r="F54">
        <f>Tableau72[[#This Row],[Taille Maximum Par record (Bytes)]]*Tableau72[[#This Row],[Nombre moyen PE]]</f>
        <v>10800</v>
      </c>
      <c r="G54">
        <f>Tableau72[[#This Row],[Taille Maximum Par record (Bytes)]]*Tableau72[[#This Row],[Nombre Moyen GE ]]</f>
        <v>10800</v>
      </c>
      <c r="H54">
        <f>Tableau72[[#This Row],[Taille Maximum Par record (Bytes)]]*Tableau72[[#This Row],[Nombre Moyen MP]]</f>
        <v>10800</v>
      </c>
    </row>
    <row r="55" spans="1:8" x14ac:dyDescent="0.25">
      <c r="A55" t="s">
        <v>47</v>
      </c>
      <c r="B55">
        <v>50</v>
      </c>
      <c r="C55">
        <v>5</v>
      </c>
      <c r="D55">
        <v>5</v>
      </c>
      <c r="E55">
        <v>5</v>
      </c>
      <c r="F55">
        <f>Tableau72[[#This Row],[Taille Maximum Par record (Bytes)]]*Tableau72[[#This Row],[Nombre moyen PE]]</f>
        <v>250</v>
      </c>
      <c r="G55">
        <f>Tableau72[[#This Row],[Taille Maximum Par record (Bytes)]]*Tableau72[[#This Row],[Nombre Moyen GE ]]</f>
        <v>250</v>
      </c>
      <c r="H55">
        <f>Tableau72[[#This Row],[Taille Maximum Par record (Bytes)]]*Tableau72[[#This Row],[Nombre Moyen MP]]</f>
        <v>250</v>
      </c>
    </row>
    <row r="56" spans="1:8" x14ac:dyDescent="0.25">
      <c r="A56" t="s">
        <v>48</v>
      </c>
      <c r="B56">
        <v>54</v>
      </c>
      <c r="C56">
        <v>50</v>
      </c>
      <c r="D56">
        <v>150</v>
      </c>
      <c r="E56">
        <v>30</v>
      </c>
      <c r="F56">
        <f>Tableau72[[#This Row],[Taille Maximum Par record (Bytes)]]*Tableau72[[#This Row],[Nombre moyen PE]]</f>
        <v>2700</v>
      </c>
      <c r="G56">
        <f>Tableau72[[#This Row],[Taille Maximum Par record (Bytes)]]*Tableau72[[#This Row],[Nombre Moyen GE ]]</f>
        <v>8100</v>
      </c>
      <c r="H56">
        <f>Tableau72[[#This Row],[Taille Maximum Par record (Bytes)]]*Tableau72[[#This Row],[Nombre Moyen MP]]</f>
        <v>1620</v>
      </c>
    </row>
    <row r="57" spans="1:8" x14ac:dyDescent="0.25">
      <c r="A57" t="s">
        <v>49</v>
      </c>
      <c r="B57">
        <v>8</v>
      </c>
      <c r="C57">
        <f>C56*C24</f>
        <v>2500</v>
      </c>
      <c r="D57">
        <f t="shared" ref="D57:E57" si="12">D56*D24</f>
        <v>45000</v>
      </c>
      <c r="E57">
        <f t="shared" si="12"/>
        <v>300</v>
      </c>
      <c r="F57">
        <f>Tableau72[[#This Row],[Taille Maximum Par record (Bytes)]]*Tableau72[[#This Row],[Nombre moyen PE]]</f>
        <v>20000</v>
      </c>
      <c r="G57">
        <f>Tableau72[[#This Row],[Taille Maximum Par record (Bytes)]]*Tableau72[[#This Row],[Nombre Moyen GE ]]</f>
        <v>360000</v>
      </c>
      <c r="H57">
        <f>Tableau72[[#This Row],[Taille Maximum Par record (Bytes)]]*Tableau72[[#This Row],[Nombre Moyen MP]]</f>
        <v>2400</v>
      </c>
    </row>
    <row r="58" spans="1:8" x14ac:dyDescent="0.25">
      <c r="A58" t="s">
        <v>50</v>
      </c>
      <c r="B58">
        <v>28</v>
      </c>
      <c r="C58">
        <f>C24</f>
        <v>50</v>
      </c>
      <c r="D58">
        <f t="shared" ref="D58:E58" si="13">D24</f>
        <v>300</v>
      </c>
      <c r="E58">
        <f t="shared" si="13"/>
        <v>10</v>
      </c>
      <c r="F58">
        <f>Tableau72[[#This Row],[Taille Maximum Par record (Bytes)]]*Tableau72[[#This Row],[Nombre moyen PE]]</f>
        <v>1400</v>
      </c>
      <c r="G58">
        <f>Tableau72[[#This Row],[Taille Maximum Par record (Bytes)]]*Tableau72[[#This Row],[Nombre Moyen GE ]]</f>
        <v>8400</v>
      </c>
      <c r="H58">
        <f>Tableau72[[#This Row],[Taille Maximum Par record (Bytes)]]*Tableau72[[#This Row],[Nombre Moyen MP]]</f>
        <v>280</v>
      </c>
    </row>
    <row r="59" spans="1:8" x14ac:dyDescent="0.25">
      <c r="A59" t="s">
        <v>51</v>
      </c>
      <c r="B59">
        <v>12</v>
      </c>
      <c r="C59">
        <f>C24</f>
        <v>50</v>
      </c>
      <c r="D59">
        <f t="shared" ref="D59:E59" si="14">D24</f>
        <v>300</v>
      </c>
      <c r="E59">
        <f t="shared" si="14"/>
        <v>10</v>
      </c>
      <c r="F59">
        <f>Tableau72[[#This Row],[Taille Maximum Par record (Bytes)]]*Tableau72[[#This Row],[Nombre moyen PE]]</f>
        <v>600</v>
      </c>
      <c r="G59">
        <f>Tableau72[[#This Row],[Taille Maximum Par record (Bytes)]]*Tableau72[[#This Row],[Nombre Moyen GE ]]</f>
        <v>3600</v>
      </c>
      <c r="H59">
        <f>Tableau72[[#This Row],[Taille Maximum Par record (Bytes)]]*Tableau72[[#This Row],[Nombre Moyen MP]]</f>
        <v>120</v>
      </c>
    </row>
    <row r="60" spans="1:8" x14ac:dyDescent="0.25">
      <c r="A60" t="s">
        <v>52</v>
      </c>
      <c r="B60">
        <v>144</v>
      </c>
      <c r="C60">
        <f>C24</f>
        <v>50</v>
      </c>
      <c r="D60">
        <f t="shared" ref="D60:E60" si="15">D24</f>
        <v>300</v>
      </c>
      <c r="E60">
        <f t="shared" si="15"/>
        <v>10</v>
      </c>
      <c r="F60">
        <f>Tableau72[[#This Row],[Taille Maximum Par record (Bytes)]]*Tableau72[[#This Row],[Nombre moyen PE]]</f>
        <v>7200</v>
      </c>
      <c r="G60">
        <f>Tableau72[[#This Row],[Taille Maximum Par record (Bytes)]]*Tableau72[[#This Row],[Nombre Moyen GE ]]</f>
        <v>43200</v>
      </c>
      <c r="H60">
        <f>Tableau72[[#This Row],[Taille Maximum Par record (Bytes)]]*Tableau72[[#This Row],[Nombre Moyen MP]]</f>
        <v>1440</v>
      </c>
    </row>
    <row r="61" spans="1:8" x14ac:dyDescent="0.25">
      <c r="A61" t="s">
        <v>53</v>
      </c>
      <c r="B61">
        <v>361</v>
      </c>
      <c r="C61">
        <f>2*C24*B4</f>
        <v>1500</v>
      </c>
      <c r="D61">
        <f>2*D24*B4</f>
        <v>9000</v>
      </c>
      <c r="E61">
        <f>2*E24*B4</f>
        <v>300</v>
      </c>
      <c r="F61">
        <f>Tableau72[[#This Row],[Taille Maximum Par record (Bytes)]]*Tableau72[[#This Row],[Nombre moyen PE]]</f>
        <v>541500</v>
      </c>
      <c r="G61">
        <f>Tableau72[[#This Row],[Taille Maximum Par record (Bytes)]]*Tableau72[[#This Row],[Nombre Moyen GE ]]</f>
        <v>3249000</v>
      </c>
      <c r="H61">
        <f>Tableau72[[#This Row],[Taille Maximum Par record (Bytes)]]*Tableau72[[#This Row],[Nombre Moyen MP]]</f>
        <v>108300</v>
      </c>
    </row>
    <row r="62" spans="1:8" x14ac:dyDescent="0.25">
      <c r="A62" t="s">
        <v>54</v>
      </c>
      <c r="B62">
        <v>50</v>
      </c>
      <c r="C62">
        <v>20</v>
      </c>
      <c r="D62">
        <v>20</v>
      </c>
      <c r="E62">
        <v>20</v>
      </c>
      <c r="F62">
        <f>Tableau72[[#This Row],[Taille Maximum Par record (Bytes)]]*Tableau72[[#This Row],[Nombre moyen PE]]</f>
        <v>1000</v>
      </c>
      <c r="G62">
        <f>Tableau72[[#This Row],[Taille Maximum Par record (Bytes)]]*Tableau72[[#This Row],[Nombre Moyen GE ]]</f>
        <v>1000</v>
      </c>
      <c r="H62">
        <f>Tableau72[[#This Row],[Taille Maximum Par record (Bytes)]]*Tableau72[[#This Row],[Nombre Moyen MP]]</f>
        <v>1000</v>
      </c>
    </row>
    <row r="63" spans="1:8" x14ac:dyDescent="0.25">
      <c r="A63" t="s">
        <v>55</v>
      </c>
      <c r="B63">
        <v>50</v>
      </c>
      <c r="C63">
        <v>15</v>
      </c>
      <c r="D63">
        <v>15</v>
      </c>
      <c r="E63">
        <v>15</v>
      </c>
      <c r="F63">
        <f>Tableau72[[#This Row],[Taille Maximum Par record (Bytes)]]*Tableau72[[#This Row],[Nombre moyen PE]]</f>
        <v>750</v>
      </c>
      <c r="G63">
        <f>Tableau72[[#This Row],[Taille Maximum Par record (Bytes)]]*Tableau72[[#This Row],[Nombre Moyen GE ]]</f>
        <v>750</v>
      </c>
      <c r="H63">
        <f>Tableau72[[#This Row],[Taille Maximum Par record (Bytes)]]*Tableau72[[#This Row],[Nombre Moyen MP]]</f>
        <v>750</v>
      </c>
    </row>
    <row r="64" spans="1:8" x14ac:dyDescent="0.25">
      <c r="A64" t="s">
        <v>56</v>
      </c>
      <c r="B64">
        <v>50</v>
      </c>
      <c r="C64">
        <v>20</v>
      </c>
      <c r="D64">
        <v>20</v>
      </c>
      <c r="E64">
        <v>20</v>
      </c>
      <c r="F64">
        <f>Tableau72[[#This Row],[Taille Maximum Par record (Bytes)]]*Tableau72[[#This Row],[Nombre moyen PE]]</f>
        <v>1000</v>
      </c>
      <c r="G64">
        <f>Tableau72[[#This Row],[Taille Maximum Par record (Bytes)]]*Tableau72[[#This Row],[Nombre Moyen GE ]]</f>
        <v>1000</v>
      </c>
      <c r="H64">
        <f>Tableau72[[#This Row],[Taille Maximum Par record (Bytes)]]*Tableau72[[#This Row],[Nombre Moyen MP]]</f>
        <v>1000</v>
      </c>
    </row>
    <row r="65" spans="1:8" x14ac:dyDescent="0.25">
      <c r="A65" t="s">
        <v>57</v>
      </c>
      <c r="B65">
        <v>50</v>
      </c>
      <c r="C65">
        <v>20</v>
      </c>
      <c r="D65">
        <v>20</v>
      </c>
      <c r="E65">
        <v>20</v>
      </c>
      <c r="F65">
        <f>Tableau72[[#This Row],[Taille Maximum Par record (Bytes)]]*Tableau72[[#This Row],[Nombre moyen PE]]</f>
        <v>1000</v>
      </c>
      <c r="G65">
        <f>Tableau72[[#This Row],[Taille Maximum Par record (Bytes)]]*Tableau72[[#This Row],[Nombre Moyen GE ]]</f>
        <v>1000</v>
      </c>
      <c r="H65">
        <f>Tableau72[[#This Row],[Taille Maximum Par record (Bytes)]]*Tableau72[[#This Row],[Nombre Moyen MP]]</f>
        <v>1000</v>
      </c>
    </row>
    <row r="66" spans="1:8" x14ac:dyDescent="0.25">
      <c r="A66" t="s">
        <v>58</v>
      </c>
      <c r="B66">
        <v>50</v>
      </c>
      <c r="C66">
        <v>15</v>
      </c>
      <c r="D66">
        <v>15</v>
      </c>
      <c r="E66">
        <v>15</v>
      </c>
      <c r="F66">
        <f>Tableau72[[#This Row],[Taille Maximum Par record (Bytes)]]*Tableau72[[#This Row],[Nombre moyen PE]]</f>
        <v>750</v>
      </c>
      <c r="G66">
        <f>Tableau72[[#This Row],[Taille Maximum Par record (Bytes)]]*Tableau72[[#This Row],[Nombre Moyen GE ]]</f>
        <v>750</v>
      </c>
      <c r="H66">
        <f>Tableau72[[#This Row],[Taille Maximum Par record (Bytes)]]*Tableau72[[#This Row],[Nombre Moyen MP]]</f>
        <v>750</v>
      </c>
    </row>
    <row r="67" spans="1:8" x14ac:dyDescent="0.25">
      <c r="A67" t="s">
        <v>59</v>
      </c>
      <c r="B67">
        <v>50</v>
      </c>
      <c r="C67">
        <v>15</v>
      </c>
      <c r="D67">
        <v>15</v>
      </c>
      <c r="E67">
        <v>15</v>
      </c>
      <c r="F67">
        <f>Tableau72[[#This Row],[Taille Maximum Par record (Bytes)]]*Tableau72[[#This Row],[Nombre moyen PE]]</f>
        <v>750</v>
      </c>
      <c r="G67">
        <f>Tableau72[[#This Row],[Taille Maximum Par record (Bytes)]]*Tableau72[[#This Row],[Nombre Moyen GE ]]</f>
        <v>750</v>
      </c>
      <c r="H67">
        <f>Tableau72[[#This Row],[Taille Maximum Par record (Bytes)]]*Tableau72[[#This Row],[Nombre Moyen MP]]</f>
        <v>750</v>
      </c>
    </row>
    <row r="68" spans="1:8" x14ac:dyDescent="0.25">
      <c r="A68" t="s">
        <v>60</v>
      </c>
      <c r="B68">
        <v>50</v>
      </c>
      <c r="C68">
        <v>15</v>
      </c>
      <c r="D68">
        <v>15</v>
      </c>
      <c r="E68">
        <v>15</v>
      </c>
      <c r="F68">
        <f>Tableau72[[#This Row],[Taille Maximum Par record (Bytes)]]*Tableau72[[#This Row],[Nombre moyen PE]]</f>
        <v>750</v>
      </c>
      <c r="G68">
        <f>Tableau72[[#This Row],[Taille Maximum Par record (Bytes)]]*Tableau72[[#This Row],[Nombre Moyen GE ]]</f>
        <v>750</v>
      </c>
      <c r="H68">
        <f>Tableau72[[#This Row],[Taille Maximum Par record (Bytes)]]*Tableau72[[#This Row],[Nombre Moyen MP]]</f>
        <v>750</v>
      </c>
    </row>
    <row r="69" spans="1:8" x14ac:dyDescent="0.25">
      <c r="A69" t="s">
        <v>61</v>
      </c>
      <c r="B69">
        <v>50</v>
      </c>
      <c r="C69">
        <v>6</v>
      </c>
      <c r="D69">
        <v>6</v>
      </c>
      <c r="E69">
        <v>6</v>
      </c>
      <c r="F69">
        <f>Tableau72[[#This Row],[Taille Maximum Par record (Bytes)]]*Tableau72[[#This Row],[Nombre moyen PE]]</f>
        <v>300</v>
      </c>
      <c r="G69">
        <f>Tableau72[[#This Row],[Taille Maximum Par record (Bytes)]]*Tableau72[[#This Row],[Nombre Moyen GE ]]</f>
        <v>300</v>
      </c>
      <c r="H69">
        <f>Tableau72[[#This Row],[Taille Maximum Par record (Bytes)]]*Tableau72[[#This Row],[Nombre Moyen MP]]</f>
        <v>300</v>
      </c>
    </row>
    <row r="70" spans="1:8" x14ac:dyDescent="0.25">
      <c r="A70" t="s">
        <v>62</v>
      </c>
      <c r="B70">
        <v>50</v>
      </c>
      <c r="C70">
        <v>15</v>
      </c>
      <c r="D70">
        <v>15</v>
      </c>
      <c r="E70">
        <v>15</v>
      </c>
      <c r="F70">
        <f>Tableau72[[#This Row],[Taille Maximum Par record (Bytes)]]*Tableau72[[#This Row],[Nombre moyen PE]]</f>
        <v>750</v>
      </c>
      <c r="G70">
        <f>Tableau72[[#This Row],[Taille Maximum Par record (Bytes)]]*Tableau72[[#This Row],[Nombre Moyen GE ]]</f>
        <v>750</v>
      </c>
      <c r="H70">
        <f>Tableau72[[#This Row],[Taille Maximum Par record (Bytes)]]*Tableau72[[#This Row],[Nombre Moyen MP]]</f>
        <v>750</v>
      </c>
    </row>
    <row r="71" spans="1:8" x14ac:dyDescent="0.25">
      <c r="A71" t="s">
        <v>63</v>
      </c>
      <c r="B71">
        <v>50</v>
      </c>
      <c r="C71">
        <v>4</v>
      </c>
      <c r="D71">
        <v>4</v>
      </c>
      <c r="E71">
        <v>4</v>
      </c>
      <c r="F71">
        <f>Tableau72[[#This Row],[Taille Maximum Par record (Bytes)]]*Tableau72[[#This Row],[Nombre moyen PE]]</f>
        <v>200</v>
      </c>
      <c r="G71">
        <f>Tableau72[[#This Row],[Taille Maximum Par record (Bytes)]]*Tableau72[[#This Row],[Nombre Moyen GE ]]</f>
        <v>200</v>
      </c>
      <c r="H71">
        <f>Tableau72[[#This Row],[Taille Maximum Par record (Bytes)]]*Tableau72[[#This Row],[Nombre Moyen MP]]</f>
        <v>200</v>
      </c>
    </row>
    <row r="72" spans="1:8" x14ac:dyDescent="0.25">
      <c r="A72" t="s">
        <v>64</v>
      </c>
      <c r="B72">
        <v>50</v>
      </c>
      <c r="C72">
        <v>12</v>
      </c>
      <c r="D72">
        <v>12</v>
      </c>
      <c r="E72">
        <v>12</v>
      </c>
      <c r="F72">
        <f>Tableau72[[#This Row],[Taille Maximum Par record (Bytes)]]*Tableau72[[#This Row],[Nombre moyen PE]]</f>
        <v>600</v>
      </c>
      <c r="G72">
        <f>Tableau72[[#This Row],[Taille Maximum Par record (Bytes)]]*Tableau72[[#This Row],[Nombre Moyen GE ]]</f>
        <v>600</v>
      </c>
      <c r="H72">
        <f>Tableau72[[#This Row],[Taille Maximum Par record (Bytes)]]*Tableau72[[#This Row],[Nombre Moyen MP]]</f>
        <v>600</v>
      </c>
    </row>
    <row r="73" spans="1:8" x14ac:dyDescent="0.25">
      <c r="A73" t="s">
        <v>65</v>
      </c>
      <c r="B73">
        <v>50</v>
      </c>
      <c r="C73">
        <v>15</v>
      </c>
      <c r="D73">
        <v>15</v>
      </c>
      <c r="E73">
        <v>15</v>
      </c>
      <c r="F73">
        <f>Tableau72[[#This Row],[Taille Maximum Par record (Bytes)]]*Tableau72[[#This Row],[Nombre moyen PE]]</f>
        <v>750</v>
      </c>
      <c r="G73">
        <f>Tableau72[[#This Row],[Taille Maximum Par record (Bytes)]]*Tableau72[[#This Row],[Nombre Moyen GE ]]</f>
        <v>750</v>
      </c>
      <c r="H73">
        <f>Tableau72[[#This Row],[Taille Maximum Par record (Bytes)]]*Tableau72[[#This Row],[Nombre Moyen MP]]</f>
        <v>750</v>
      </c>
    </row>
    <row r="74" spans="1:8" x14ac:dyDescent="0.25">
      <c r="A74" t="s">
        <v>66</v>
      </c>
      <c r="B74">
        <v>50</v>
      </c>
      <c r="C74">
        <v>15</v>
      </c>
      <c r="D74">
        <v>15</v>
      </c>
      <c r="E74">
        <v>15</v>
      </c>
      <c r="F74">
        <f>Tableau72[[#This Row],[Taille Maximum Par record (Bytes)]]*Tableau72[[#This Row],[Nombre moyen PE]]</f>
        <v>750</v>
      </c>
      <c r="G74">
        <f>Tableau72[[#This Row],[Taille Maximum Par record (Bytes)]]*Tableau72[[#This Row],[Nombre Moyen GE ]]</f>
        <v>750</v>
      </c>
      <c r="H74">
        <f>Tableau72[[#This Row],[Taille Maximum Par record (Bytes)]]*Tableau72[[#This Row],[Nombre Moyen MP]]</f>
        <v>750</v>
      </c>
    </row>
    <row r="75" spans="1:8" x14ac:dyDescent="0.25">
      <c r="A75" t="s">
        <v>67</v>
      </c>
      <c r="B75">
        <v>56</v>
      </c>
      <c r="C75">
        <v>20</v>
      </c>
      <c r="D75">
        <v>50</v>
      </c>
      <c r="E75">
        <v>10</v>
      </c>
      <c r="F75">
        <f>Tableau72[[#This Row],[Taille Maximum Par record (Bytes)]]*Tableau72[[#This Row],[Nombre moyen PE]]</f>
        <v>1120</v>
      </c>
      <c r="G75">
        <f>Tableau72[[#This Row],[Taille Maximum Par record (Bytes)]]*Tableau72[[#This Row],[Nombre Moyen GE ]]</f>
        <v>2800</v>
      </c>
      <c r="H75">
        <f>Tableau72[[#This Row],[Taille Maximum Par record (Bytes)]]*Tableau72[[#This Row],[Nombre Moyen MP]]</f>
        <v>560</v>
      </c>
    </row>
    <row r="76" spans="1:8" x14ac:dyDescent="0.25">
      <c r="A76" t="s">
        <v>68</v>
      </c>
      <c r="B76">
        <v>11</v>
      </c>
      <c r="C76">
        <f>C75*C42</f>
        <v>70300</v>
      </c>
      <c r="D76">
        <f t="shared" ref="D76:E76" si="16">D75*D42</f>
        <v>1035500</v>
      </c>
      <c r="E76">
        <f t="shared" si="16"/>
        <v>9680</v>
      </c>
      <c r="F76">
        <f>Tableau72[[#This Row],[Taille Maximum Par record (Bytes)]]*Tableau72[[#This Row],[Nombre moyen PE]]</f>
        <v>773300</v>
      </c>
      <c r="G76">
        <f>Tableau72[[#This Row],[Taille Maximum Par record (Bytes)]]*Tableau72[[#This Row],[Nombre Moyen GE ]]</f>
        <v>11390500</v>
      </c>
      <c r="H76">
        <f>Tableau72[[#This Row],[Taille Maximum Par record (Bytes)]]*Tableau72[[#This Row],[Nombre Moyen MP]]</f>
        <v>106480</v>
      </c>
    </row>
    <row r="77" spans="1:8" x14ac:dyDescent="0.25">
      <c r="E77" t="s">
        <v>346</v>
      </c>
      <c r="F77" s="3">
        <f>SUM(Tableau72[PE Estimation DB])</f>
        <v>19602108318700.5</v>
      </c>
      <c r="G77" s="3">
        <f>SUM(Tableau72[GE Estimation DB])</f>
        <v>705672664021329</v>
      </c>
      <c r="H77" s="3">
        <f>SUM(Tableau72[ME Estimation DB])</f>
        <v>784101615750.69995</v>
      </c>
    </row>
    <row r="78" spans="1:8" x14ac:dyDescent="0.25">
      <c r="E78" t="s">
        <v>347</v>
      </c>
      <c r="F78">
        <f>Tableau72[[#Totals],[PE Estimation DB]]/1000000000</f>
        <v>19602.108318700499</v>
      </c>
      <c r="G78">
        <f>Tableau72[[#Totals],[GE Estimation DB]]/1000000000</f>
        <v>705672.66402132902</v>
      </c>
      <c r="H78">
        <f>Tableau72[[#Totals],[ME Estimation DB]]/1000000000</f>
        <v>784.10161575069992</v>
      </c>
    </row>
    <row r="79" spans="1:8" x14ac:dyDescent="0.25">
      <c r="E79" t="s">
        <v>349</v>
      </c>
      <c r="F79">
        <f>F78/1000</f>
        <v>19.602108318700498</v>
      </c>
      <c r="G79">
        <f>G78/1000</f>
        <v>705.67266402132907</v>
      </c>
      <c r="H79">
        <f>H78/1000</f>
        <v>0.78410161575069992</v>
      </c>
    </row>
    <row r="80" spans="1:8" x14ac:dyDescent="0.25">
      <c r="E80" t="s">
        <v>351</v>
      </c>
      <c r="F80">
        <f>(F79)+(F79/20)</f>
        <v>20.582213734635523</v>
      </c>
      <c r="G80">
        <f t="shared" ref="G80:H80" si="17">(G79)+(G79/20)</f>
        <v>740.95629722239551</v>
      </c>
      <c r="H80">
        <f t="shared" si="17"/>
        <v>0.82330669653823496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baseColWidth="10" defaultRowHeight="15" x14ac:dyDescent="0.25"/>
  <sheetData>
    <row r="1" spans="1:1" x14ac:dyDescent="0.25">
      <c r="A1" t="s">
        <v>331</v>
      </c>
    </row>
    <row r="2" spans="1:1" x14ac:dyDescent="0.25">
      <c r="A2" t="s">
        <v>332</v>
      </c>
    </row>
    <row r="3" spans="1:1" x14ac:dyDescent="0.25">
      <c r="A3" t="s">
        <v>333</v>
      </c>
    </row>
    <row r="4" spans="1:1" x14ac:dyDescent="0.25">
      <c r="A4" t="s">
        <v>334</v>
      </c>
    </row>
    <row r="5" spans="1:1" x14ac:dyDescent="0.25">
      <c r="A5" t="s">
        <v>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Dictionnaire de données</vt:lpstr>
      <vt:lpstr>Estimations taille DB</vt:lpstr>
      <vt:lpstr>Questionnaire entreprise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DELVS</dc:creator>
  <cp:lastModifiedBy>DELVS</cp:lastModifiedBy>
  <dcterms:created xsi:type="dcterms:W3CDTF">2016-04-17T12:43:52Z</dcterms:created>
  <dcterms:modified xsi:type="dcterms:W3CDTF">2016-05-27T15:27:18Z</dcterms:modified>
</cp:coreProperties>
</file>